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codeName="ThisWorkbook" autoCompressPictures="0"/>
  <mc:AlternateContent xmlns:mc="http://schemas.openxmlformats.org/markup-compatibility/2006">
    <mc:Choice Requires="x15">
      <x15ac:absPath xmlns:x15ac="http://schemas.microsoft.com/office/spreadsheetml/2010/11/ac" url="C:\Users\Michael\Videos\Video Introduction to Country View and The Peak Portfolio\"/>
    </mc:Choice>
  </mc:AlternateContent>
  <bookViews>
    <workbookView xWindow="0" yWindow="0" windowWidth="28800" windowHeight="11610" tabRatio="844" activeTab="6" xr2:uid="{00000000-000D-0000-FFFF-FFFF00000000}"/>
  </bookViews>
  <sheets>
    <sheet name="About" sheetId="54858" r:id="rId1"/>
    <sheet name="Scenarios" sheetId="54832" r:id="rId2"/>
    <sheet name="Summary" sheetId="16" r:id="rId3"/>
    <sheet name="P&amp;L" sheetId="54839" r:id="rId4"/>
    <sheet name="Acquisition Costs" sheetId="54845" r:id="rId5"/>
    <sheet name="Exit Strategies" sheetId="54840" r:id="rId6"/>
    <sheet name="Returns" sheetId="54843" r:id="rId7"/>
    <sheet name="IRR" sheetId="54841" r:id="rId8"/>
    <sheet name="Loans" sheetId="54848" r:id="rId9"/>
    <sheet name="1st Mortgage 1" sheetId="101" r:id="rId10"/>
    <sheet name="2nd Mortgage 1" sheetId="54854" r:id="rId11"/>
    <sheet name="1st Mortgage Re-Fi" sheetId="54856" r:id="rId12"/>
  </sheets>
  <externalReferences>
    <externalReference r:id="rId13"/>
    <externalReference r:id="rId14"/>
    <externalReference r:id="rId15"/>
  </externalReferences>
  <definedNames>
    <definedName name="cum_interest" localSheetId="11">OFFSET('1st Mortgage Re-Fi'!$E$16,2,0,'1st Mortgage Re-Fi'!$D$5,1)</definedName>
    <definedName name="cum_interest" localSheetId="10">OFFSET('2nd Mortgage 1'!$E$16,2,0,'2nd Mortgage 1'!$D$5,1)</definedName>
    <definedName name="cum_interest" localSheetId="0">OFFSET('[1]1st Mortgage 1'!$E$16,2,0,'[1]1st Mortgage 1'!$D$5,1)</definedName>
    <definedName name="cum_interest" localSheetId="4">OFFSET('[2]Amortization-Loan 1'!$E$13,2,0,'[2]Amortization-Loan 1'!$D$6,1)</definedName>
    <definedName name="cum_interest" localSheetId="8">OFFSET(#REF!,2,0,#REF!,1)</definedName>
    <definedName name="cum_interest">OFFSET('1st Mortgage 1'!$E$16,2,0,'1st Mortgage 1'!$D$5,1)</definedName>
    <definedName name="cum_principal" localSheetId="11">OFFSET('1st Mortgage Re-Fi'!$G$16,2,0,'1st Mortgage Re-Fi'!$D$5,1)</definedName>
    <definedName name="cum_principal" localSheetId="10">OFFSET('2nd Mortgage 1'!$G$16,2,0,'2nd Mortgage 1'!$D$5,1)</definedName>
    <definedName name="cum_principal" localSheetId="0">OFFSET('[1]1st Mortgage 1'!$G$16,2,0,'[1]1st Mortgage 1'!$D$5,1)</definedName>
    <definedName name="cum_principal" localSheetId="4">OFFSET('[2]Amortization-Loan 1'!$G$13,2,0,'[2]Amortization-Loan 1'!$D$6,1)</definedName>
    <definedName name="cum_principal" localSheetId="8">OFFSET(#REF!,2,0,#REF!,1)</definedName>
    <definedName name="cum_principal">OFFSET('1st Mortgage 1'!$G$16,2,0,'1st Mortgage 1'!$D$5,1)</definedName>
    <definedName name="cumulative_interest" localSheetId="0">OFFSET(#REF!,2,0,#REF!,1)</definedName>
    <definedName name="cumulative_interest">OFFSET(#REF!,2,0,#REF!,1)</definedName>
    <definedName name="fff">OFFSET('[3]Amortization-Loan 1'!$E$13,2,0,'[3]Amortization-Loan 1'!$D$6,1)</definedName>
    <definedName name="period_number" localSheetId="11">OFFSET('1st Mortgage Re-Fi'!$B$16,2,0,'1st Mortgage Re-Fi'!$D$5,1)</definedName>
    <definedName name="period_number" localSheetId="10">OFFSET('2nd Mortgage 1'!$B$16,2,0,'2nd Mortgage 1'!$D$5,1)</definedName>
    <definedName name="period_number" localSheetId="0">OFFSET('[1]1st Mortgage 1'!$B$16,2,0,'[1]1st Mortgage 1'!$D$5,1)</definedName>
    <definedName name="period_number" localSheetId="4">OFFSET('[2]Amortization-Loan 1'!$B$13,2,0,'[2]Amortization-Loan 1'!$D$6,1)</definedName>
    <definedName name="period_number" localSheetId="8">OFFSET(#REF!,2,0,#REF!,1)</definedName>
    <definedName name="period_number">OFFSET('1st Mortgage 1'!$B$16,2,0,'1st Mortgage 1'!$D$5,1)</definedName>
    <definedName name="_xlnm.Print_Area" localSheetId="9">'1st Mortgage 1'!$A$1:$L$383</definedName>
    <definedName name="_xlnm.Print_Area" localSheetId="11">'1st Mortgage Re-Fi'!$A$1:$L$383</definedName>
    <definedName name="_xlnm.Print_Area" localSheetId="10">'2nd Mortgage 1'!$A$1:$L$383</definedName>
    <definedName name="_xlnm.Print_Area" localSheetId="0">About!$A$1:$G$38</definedName>
    <definedName name="_xlnm.Print_Area" localSheetId="4">'Acquisition Costs'!$A$1:$D$52</definedName>
    <definedName name="_xlnm.Print_Area" localSheetId="5">'Exit Strategies'!$A$1:$F$29</definedName>
    <definedName name="_xlnm.Print_Area" localSheetId="8">Loans!$A$1:$L$37</definedName>
    <definedName name="_xlnm.Print_Area" localSheetId="1">Scenarios!$A$1:$K$67</definedName>
    <definedName name="Z_238A3432_2201_4481_B06C_00480E9813A7_.wvu.PrintArea" localSheetId="9" hidden="1">'1st Mortgage 1'!$A$1:$K$53</definedName>
    <definedName name="Z_238A3432_2201_4481_B06C_00480E9813A7_.wvu.PrintArea" localSheetId="11" hidden="1">'1st Mortgage Re-Fi'!$A$1:$K$53</definedName>
    <definedName name="Z_238A3432_2201_4481_B06C_00480E9813A7_.wvu.PrintArea" localSheetId="10" hidden="1">'2nd Mortgage 1'!$A$1:$K$53</definedName>
    <definedName name="Z_238A3432_2201_4481_B06C_00480E9813A7_.wvu.PrintArea" localSheetId="8" hidden="1">Loans!$B$2:$L$17</definedName>
    <definedName name="Z_238A3432_2201_4481_B06C_00480E9813A7_.wvu.PrintArea" localSheetId="2" hidden="1">Summary!$C$5:$E$46</definedName>
  </definedNames>
  <calcPr calcId="171027" concurrentCalc="0"/>
  <customWorkbookViews>
    <customWorkbookView name="TMP" guid="{238A3432-2201-4481-B06C-00480E9813A7}" maximized="1" windowWidth="1276" windowHeight="601" tabRatio="844" activeSheetId="54853"/>
  </customWorkbookView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D7" i="54839" l="1"/>
  <c r="D8" i="54839"/>
  <c r="D5" i="54839"/>
  <c r="F7" i="54839"/>
  <c r="C24" i="54832"/>
  <c r="C40" i="54832"/>
  <c r="C39" i="54832"/>
  <c r="C38" i="54832"/>
  <c r="C37" i="54832"/>
  <c r="C36" i="54832"/>
  <c r="C34" i="54832"/>
  <c r="C33" i="54832"/>
  <c r="C32" i="54832"/>
  <c r="C31" i="54832"/>
  <c r="C30" i="54832"/>
  <c r="C29" i="54832"/>
  <c r="C28" i="54832"/>
  <c r="C22" i="54832"/>
  <c r="C21" i="54832"/>
  <c r="C20" i="54832"/>
  <c r="E12" i="54854"/>
  <c r="E13" i="54854"/>
  <c r="E26" i="16"/>
  <c r="E9" i="54839"/>
  <c r="G9" i="54839"/>
  <c r="I9" i="54839"/>
  <c r="H7" i="54839"/>
  <c r="J7" i="54839"/>
  <c r="E27" i="16"/>
  <c r="E10" i="54839"/>
  <c r="G10" i="54839"/>
  <c r="I10" i="54839"/>
  <c r="F24" i="54832"/>
  <c r="I24" i="54832"/>
  <c r="L24" i="54832"/>
  <c r="D29" i="16"/>
  <c r="D12" i="54839"/>
  <c r="F12" i="54839"/>
  <c r="H12" i="54839"/>
  <c r="E24" i="54839"/>
  <c r="G24" i="54839"/>
  <c r="I24" i="54839"/>
  <c r="F28" i="54832"/>
  <c r="I28" i="54832"/>
  <c r="L28" i="54832"/>
  <c r="D16" i="54839"/>
  <c r="F16" i="54839"/>
  <c r="H16" i="54839"/>
  <c r="D17" i="54839"/>
  <c r="F17" i="54839"/>
  <c r="H17" i="54839"/>
  <c r="F30" i="54832"/>
  <c r="I30" i="54832"/>
  <c r="L30" i="54832"/>
  <c r="D18" i="54839"/>
  <c r="F18" i="54839"/>
  <c r="H18" i="54839"/>
  <c r="F31" i="54832"/>
  <c r="I31" i="54832"/>
  <c r="L31" i="54832"/>
  <c r="D19" i="54839"/>
  <c r="F19" i="54839"/>
  <c r="H19" i="54839"/>
  <c r="F32" i="54832"/>
  <c r="I32" i="54832"/>
  <c r="L32" i="54832"/>
  <c r="D20" i="54839"/>
  <c r="F20" i="54839"/>
  <c r="H20" i="54839"/>
  <c r="F33" i="54832"/>
  <c r="I33" i="54832"/>
  <c r="L33" i="54832"/>
  <c r="D21" i="54839"/>
  <c r="F21" i="54839"/>
  <c r="H21" i="54839"/>
  <c r="F34" i="54832"/>
  <c r="I34" i="54832"/>
  <c r="L34" i="54832"/>
  <c r="D22" i="54839"/>
  <c r="F22" i="54839"/>
  <c r="H22" i="54839"/>
  <c r="F37" i="54832"/>
  <c r="I37" i="54832"/>
  <c r="L37" i="54832"/>
  <c r="D25" i="54839"/>
  <c r="F25" i="54839"/>
  <c r="H25" i="54839"/>
  <c r="F38" i="54832"/>
  <c r="I38" i="54832"/>
  <c r="L38" i="54832"/>
  <c r="D26" i="54839"/>
  <c r="F26" i="54839"/>
  <c r="H26" i="54839"/>
  <c r="D27" i="54839"/>
  <c r="F27" i="54839"/>
  <c r="H27" i="54839"/>
  <c r="F40" i="54832"/>
  <c r="I40" i="54832"/>
  <c r="L40" i="54832"/>
  <c r="D28" i="54839"/>
  <c r="F28" i="54839"/>
  <c r="H28" i="54839"/>
  <c r="C12" i="54854"/>
  <c r="C13" i="54854"/>
  <c r="F20" i="54832"/>
  <c r="I20" i="54832"/>
  <c r="L20" i="54832"/>
  <c r="D24" i="16"/>
  <c r="D9" i="54839"/>
  <c r="H7" i="54840"/>
  <c r="C78" i="54843"/>
  <c r="D12" i="54854"/>
  <c r="D13" i="54854"/>
  <c r="F8" i="54839"/>
  <c r="F9" i="54839"/>
  <c r="K9" i="54839"/>
  <c r="K10" i="54839"/>
  <c r="J12" i="54839"/>
  <c r="K24" i="54839"/>
  <c r="J16" i="54839"/>
  <c r="J17" i="54839"/>
  <c r="J18" i="54839"/>
  <c r="J19" i="54839"/>
  <c r="J20" i="54839"/>
  <c r="J21" i="54839"/>
  <c r="J22" i="54839"/>
  <c r="J25" i="54839"/>
  <c r="J26" i="54839"/>
  <c r="J27" i="54839"/>
  <c r="J28" i="54839"/>
  <c r="M9" i="54839"/>
  <c r="M10" i="54839"/>
  <c r="L12" i="54839"/>
  <c r="M24" i="54839"/>
  <c r="L16" i="54839"/>
  <c r="L17" i="54839"/>
  <c r="L18" i="54839"/>
  <c r="L19" i="54839"/>
  <c r="L20" i="54839"/>
  <c r="L21" i="54839"/>
  <c r="L22" i="54839"/>
  <c r="L25" i="54839"/>
  <c r="L26" i="54839"/>
  <c r="L27" i="54839"/>
  <c r="L28" i="54839"/>
  <c r="C5" i="54845"/>
  <c r="C8" i="54832"/>
  <c r="F8" i="54832"/>
  <c r="I8" i="54832"/>
  <c r="L8" i="54832"/>
  <c r="AE22" i="54832"/>
  <c r="AF29" i="54832"/>
  <c r="F29" i="54832"/>
  <c r="I29" i="54832"/>
  <c r="L29" i="54832"/>
  <c r="F35" i="54832"/>
  <c r="I35" i="54832"/>
  <c r="L35" i="54832"/>
  <c r="D23" i="54839"/>
  <c r="AL7" i="54832"/>
  <c r="D6" i="16"/>
  <c r="W22" i="16"/>
  <c r="W23" i="16"/>
  <c r="W24" i="16"/>
  <c r="W25" i="16"/>
  <c r="W26" i="16"/>
  <c r="W27" i="16"/>
  <c r="W28" i="16"/>
  <c r="W29" i="16"/>
  <c r="W30" i="16"/>
  <c r="W31" i="16"/>
  <c r="W32" i="16"/>
  <c r="W33" i="16"/>
  <c r="W34" i="16"/>
  <c r="W35" i="16"/>
  <c r="L39" i="54832"/>
  <c r="AF41" i="54832"/>
  <c r="L41" i="54832"/>
  <c r="D29" i="54839"/>
  <c r="U34" i="16"/>
  <c r="C13" i="54832"/>
  <c r="F3" i="54839"/>
  <c r="F41" i="54832"/>
  <c r="AI16" i="54832"/>
  <c r="AK16" i="54832"/>
  <c r="AI13" i="54832"/>
  <c r="AK13" i="54832"/>
  <c r="AI15" i="54832"/>
  <c r="AK15" i="54832"/>
  <c r="AI14" i="54832"/>
  <c r="AK14" i="54832"/>
  <c r="AI12" i="54832"/>
  <c r="AK12" i="54832"/>
  <c r="AI11" i="54832"/>
  <c r="AK11" i="54832"/>
  <c r="AI10" i="54832"/>
  <c r="AK10" i="54832"/>
  <c r="AI9" i="54832"/>
  <c r="AK9" i="54832"/>
  <c r="AI8" i="54832"/>
  <c r="AK8" i="54832"/>
  <c r="AI7" i="54832"/>
  <c r="AK7" i="54832"/>
  <c r="D7" i="54840"/>
  <c r="C21" i="54848"/>
  <c r="E21" i="54832"/>
  <c r="E22" i="54832"/>
  <c r="C23" i="54832"/>
  <c r="C25" i="54832"/>
  <c r="F29" i="54839"/>
  <c r="H29" i="54839"/>
  <c r="J29" i="54839"/>
  <c r="F53" i="54832"/>
  <c r="I53" i="54832"/>
  <c r="L53" i="54832"/>
  <c r="D14" i="16"/>
  <c r="D5" i="101"/>
  <c r="B18" i="101"/>
  <c r="E11" i="16"/>
  <c r="D13" i="16"/>
  <c r="D4" i="101"/>
  <c r="C14" i="54854"/>
  <c r="F13" i="54832"/>
  <c r="I13" i="54832"/>
  <c r="L13" i="54832"/>
  <c r="D20" i="16"/>
  <c r="D12" i="54858"/>
  <c r="K18" i="54858"/>
  <c r="L5" i="54858"/>
  <c r="C5" i="54858"/>
  <c r="Y41" i="54832"/>
  <c r="F39" i="54832"/>
  <c r="I39" i="54832"/>
  <c r="O31" i="54832"/>
  <c r="J30" i="54832"/>
  <c r="O30" i="54832"/>
  <c r="P30" i="54832"/>
  <c r="V41" i="54832"/>
  <c r="S41" i="54832"/>
  <c r="P41" i="54832"/>
  <c r="M41" i="54832"/>
  <c r="M31" i="54832"/>
  <c r="J41" i="54832"/>
  <c r="J33" i="54832"/>
  <c r="J31" i="54832"/>
  <c r="B41" i="54832"/>
  <c r="B40" i="54832"/>
  <c r="B39" i="54832"/>
  <c r="B38" i="54832"/>
  <c r="B37" i="54832"/>
  <c r="B36" i="54832"/>
  <c r="B35" i="54832"/>
  <c r="B34" i="54832"/>
  <c r="B33" i="54832"/>
  <c r="B32" i="54832"/>
  <c r="B31" i="54832"/>
  <c r="B30" i="54832"/>
  <c r="B29" i="54832"/>
  <c r="B28" i="54832"/>
  <c r="O24" i="54832"/>
  <c r="R24" i="54832"/>
  <c r="U24" i="54832"/>
  <c r="X24" i="54832"/>
  <c r="F22" i="54832"/>
  <c r="O13" i="54832"/>
  <c r="R13" i="54832"/>
  <c r="U13" i="54832"/>
  <c r="X13" i="54832"/>
  <c r="F6" i="54832"/>
  <c r="I6" i="54832"/>
  <c r="I7" i="54832"/>
  <c r="O8" i="54832"/>
  <c r="C42" i="54832"/>
  <c r="C46" i="54832"/>
  <c r="C48" i="54832"/>
  <c r="O53" i="54832"/>
  <c r="F52" i="54832"/>
  <c r="I52" i="54832"/>
  <c r="O52" i="54832"/>
  <c r="AP8" i="54832"/>
  <c r="C7" i="54832"/>
  <c r="D7" i="16"/>
  <c r="M8" i="16"/>
  <c r="M9" i="16"/>
  <c r="M10" i="16"/>
  <c r="M11" i="16"/>
  <c r="M12" i="16"/>
  <c r="M13" i="16"/>
  <c r="M14" i="16"/>
  <c r="H7" i="16"/>
  <c r="H6" i="16"/>
  <c r="H5" i="16"/>
  <c r="H4" i="16"/>
  <c r="C42" i="54839"/>
  <c r="C45" i="54839"/>
  <c r="C46" i="54839"/>
  <c r="D5" i="54856"/>
  <c r="B18" i="54856"/>
  <c r="AA85" i="54843"/>
  <c r="Z85" i="54843"/>
  <c r="H10" i="54840"/>
  <c r="G19" i="54840"/>
  <c r="C25" i="54840"/>
  <c r="G20" i="54840"/>
  <c r="C26" i="54840"/>
  <c r="AA68" i="54843"/>
  <c r="Z68" i="54843"/>
  <c r="C9" i="54858"/>
  <c r="Q10" i="54841"/>
  <c r="C6" i="54858"/>
  <c r="M6" i="54858"/>
  <c r="D5" i="54843"/>
  <c r="C49" i="16"/>
  <c r="C4" i="54858"/>
  <c r="N4" i="54858"/>
  <c r="U8" i="16"/>
  <c r="Z8" i="54843"/>
  <c r="Z9" i="54843"/>
  <c r="Z10" i="54843"/>
  <c r="Z11" i="54843"/>
  <c r="Z12" i="54843"/>
  <c r="Z13" i="54843"/>
  <c r="Z14" i="54843"/>
  <c r="Z15" i="54843"/>
  <c r="Z16" i="54843"/>
  <c r="Z17" i="54843"/>
  <c r="AA9" i="54843"/>
  <c r="C7" i="54858"/>
  <c r="AA10" i="54843"/>
  <c r="C8" i="54858"/>
  <c r="AA11" i="54843"/>
  <c r="C13" i="54858"/>
  <c r="V16" i="16"/>
  <c r="C14" i="54858"/>
  <c r="V17" i="16"/>
  <c r="D72" i="54843"/>
  <c r="E72" i="54843"/>
  <c r="F72" i="54843"/>
  <c r="D21" i="54843"/>
  <c r="E21" i="54843"/>
  <c r="E92" i="54843"/>
  <c r="E98" i="54843"/>
  <c r="F107" i="54843"/>
  <c r="E110" i="54843"/>
  <c r="E116" i="54843"/>
  <c r="E122" i="54843"/>
  <c r="E94" i="54843"/>
  <c r="E100" i="54843"/>
  <c r="E112" i="54843"/>
  <c r="E118" i="54843"/>
  <c r="E124" i="54843"/>
  <c r="E93" i="54843"/>
  <c r="E99" i="54843"/>
  <c r="D105" i="54843"/>
  <c r="E105" i="54843"/>
  <c r="E111" i="54843"/>
  <c r="E117" i="54843"/>
  <c r="E123" i="54843"/>
  <c r="E130" i="54843"/>
  <c r="E91" i="54843"/>
  <c r="E97" i="54843"/>
  <c r="D103" i="54843"/>
  <c r="E103" i="54843"/>
  <c r="E109" i="54843"/>
  <c r="E115" i="54843"/>
  <c r="E121" i="54843"/>
  <c r="B29" i="54843"/>
  <c r="B30" i="54843"/>
  <c r="B36" i="54843"/>
  <c r="B42" i="54843"/>
  <c r="B48" i="54843"/>
  <c r="B34" i="54843"/>
  <c r="B33" i="54843"/>
  <c r="B32" i="54843"/>
  <c r="B31" i="54843"/>
  <c r="U77" i="54843"/>
  <c r="T77" i="54843"/>
  <c r="U60" i="54843"/>
  <c r="T60" i="54843"/>
  <c r="D56" i="54843"/>
  <c r="E56" i="54843"/>
  <c r="F56" i="54843"/>
  <c r="G56" i="54843"/>
  <c r="H56" i="54843"/>
  <c r="AQ6" i="54832"/>
  <c r="AP6" i="54832"/>
  <c r="AP14" i="54832"/>
  <c r="AP13" i="54832"/>
  <c r="AQ12" i="54832"/>
  <c r="AP12" i="54832"/>
  <c r="AQ11" i="54832"/>
  <c r="AP11" i="54832"/>
  <c r="AQ10" i="54832"/>
  <c r="AP10" i="54832"/>
  <c r="AQ9" i="54832"/>
  <c r="AP9" i="54832"/>
  <c r="AQ7" i="54832"/>
  <c r="AP7" i="54832"/>
  <c r="N8" i="54858"/>
  <c r="C11" i="54832"/>
  <c r="C12" i="54832"/>
  <c r="C51" i="54832"/>
  <c r="F6" i="54839"/>
  <c r="H6" i="54839"/>
  <c r="J6" i="54839"/>
  <c r="H3" i="54839"/>
  <c r="J3" i="54839"/>
  <c r="L3" i="54839"/>
  <c r="N3" i="54839"/>
  <c r="P3" i="54839"/>
  <c r="R3" i="54839"/>
  <c r="T3" i="54839"/>
  <c r="V3" i="54839"/>
  <c r="F4" i="54839"/>
  <c r="H4" i="54839"/>
  <c r="J4" i="54839"/>
  <c r="L4" i="54839"/>
  <c r="N4" i="54839"/>
  <c r="P4" i="54839"/>
  <c r="R4" i="54839"/>
  <c r="T4" i="54839"/>
  <c r="V4" i="54839"/>
  <c r="AC18" i="54839"/>
  <c r="AB18" i="54839"/>
  <c r="AC17" i="54839"/>
  <c r="AB17" i="54839"/>
  <c r="AB16" i="54839"/>
  <c r="AB15" i="54839"/>
  <c r="AB14" i="54839"/>
  <c r="AC13" i="54839"/>
  <c r="AB13" i="54839"/>
  <c r="AC12" i="54839"/>
  <c r="AB12" i="54839"/>
  <c r="AC11" i="54839"/>
  <c r="AB11" i="54839"/>
  <c r="AC10" i="54839"/>
  <c r="AB10" i="54839"/>
  <c r="AC9" i="54839"/>
  <c r="AB9" i="54839"/>
  <c r="AC8" i="54839"/>
  <c r="AB8" i="54839"/>
  <c r="N7" i="54858"/>
  <c r="U17" i="16"/>
  <c r="U16" i="16"/>
  <c r="U15" i="16"/>
  <c r="U14" i="16"/>
  <c r="D14" i="54858"/>
  <c r="D13" i="54858"/>
  <c r="D44" i="54858"/>
  <c r="M4" i="54858"/>
  <c r="D46" i="54858"/>
  <c r="M8" i="54858"/>
  <c r="M7" i="54858"/>
  <c r="B12" i="54841"/>
  <c r="P10" i="54841"/>
  <c r="Q9" i="54841"/>
  <c r="P9" i="54841"/>
  <c r="Q8" i="54841"/>
  <c r="P8" i="54841"/>
  <c r="Q7" i="54841"/>
  <c r="P7" i="54841"/>
  <c r="Q6" i="54841"/>
  <c r="P6" i="54841"/>
  <c r="Q5" i="54841"/>
  <c r="P5" i="54841"/>
  <c r="U13" i="16"/>
  <c r="AA7" i="54843"/>
  <c r="Z7" i="54843"/>
  <c r="AA6" i="54843"/>
  <c r="Z6" i="54843"/>
  <c r="T6" i="54840"/>
  <c r="S6" i="54840"/>
  <c r="V6" i="16"/>
  <c r="U6" i="16"/>
  <c r="S8" i="54840"/>
  <c r="S11" i="54840"/>
  <c r="S10" i="54840"/>
  <c r="S9" i="54840"/>
  <c r="S7" i="54840"/>
  <c r="U12" i="16"/>
  <c r="U11" i="16"/>
  <c r="U10" i="16"/>
  <c r="U9" i="16"/>
  <c r="U7" i="16"/>
  <c r="E23" i="54839"/>
  <c r="V9" i="16"/>
  <c r="T8" i="54840"/>
  <c r="V11" i="16"/>
  <c r="T10" i="54840"/>
  <c r="V10" i="16"/>
  <c r="T9" i="54840"/>
  <c r="V7" i="16"/>
  <c r="T7" i="54840"/>
  <c r="D49" i="54858"/>
  <c r="D40" i="54858"/>
  <c r="C45" i="54845"/>
  <c r="C41" i="54845"/>
  <c r="D125" i="54843"/>
  <c r="C126" i="54843"/>
  <c r="B47" i="54843"/>
  <c r="B41" i="54843"/>
  <c r="B35" i="54843"/>
  <c r="B100" i="54843"/>
  <c r="B112" i="54843"/>
  <c r="B118" i="54843"/>
  <c r="B131" i="54843"/>
  <c r="B99" i="54843"/>
  <c r="B105" i="54843"/>
  <c r="B98" i="54843"/>
  <c r="B110" i="54843"/>
  <c r="B116" i="54843"/>
  <c r="B122" i="54843"/>
  <c r="B97" i="54843"/>
  <c r="B109" i="54843"/>
  <c r="D119" i="54843"/>
  <c r="D113" i="54843"/>
  <c r="D101" i="54843"/>
  <c r="D95" i="54843"/>
  <c r="D42" i="54858"/>
  <c r="E71" i="54843"/>
  <c r="C9" i="54832"/>
  <c r="G28" i="54832"/>
  <c r="G29" i="54832"/>
  <c r="G34" i="54832"/>
  <c r="G32" i="54832"/>
  <c r="G33" i="54832"/>
  <c r="G31" i="54832"/>
  <c r="G35" i="54832"/>
  <c r="G30" i="54832"/>
  <c r="G37" i="54832"/>
  <c r="G38" i="54832"/>
  <c r="G39" i="54832"/>
  <c r="G40" i="54832"/>
  <c r="G41" i="54832"/>
  <c r="D28" i="54832"/>
  <c r="D29" i="54832"/>
  <c r="D34" i="54832"/>
  <c r="D32" i="54832"/>
  <c r="D33" i="54832"/>
  <c r="D31" i="54832"/>
  <c r="D36" i="54832"/>
  <c r="D35" i="54832"/>
  <c r="D30" i="54832"/>
  <c r="D37" i="54832"/>
  <c r="D38" i="54832"/>
  <c r="D39" i="54832"/>
  <c r="D40" i="54832"/>
  <c r="D41" i="54832"/>
  <c r="C19" i="54832"/>
  <c r="D5" i="54854"/>
  <c r="B18" i="54854"/>
  <c r="C18" i="54854"/>
  <c r="D3" i="54854"/>
  <c r="D7" i="54854"/>
  <c r="D4" i="54854"/>
  <c r="F5" i="54839"/>
  <c r="F131" i="54843"/>
  <c r="G21" i="54840"/>
  <c r="C71" i="54843"/>
  <c r="D11" i="101"/>
  <c r="C56" i="54839"/>
  <c r="C55" i="54839"/>
  <c r="C12" i="54848"/>
  <c r="C13" i="54848"/>
  <c r="D3" i="54848"/>
  <c r="C2" i="54848"/>
  <c r="B29" i="54841"/>
  <c r="B30" i="54841"/>
  <c r="B31" i="54841"/>
  <c r="B32" i="54841"/>
  <c r="B33" i="54841"/>
  <c r="C55" i="54843"/>
  <c r="C20" i="54843"/>
  <c r="C4" i="54843"/>
  <c r="D4" i="54843"/>
  <c r="D11" i="54856"/>
  <c r="AL33" i="54832"/>
  <c r="AL36" i="54832"/>
  <c r="AL39" i="54832"/>
  <c r="AL40" i="54832"/>
  <c r="AL41" i="54832"/>
  <c r="D11" i="54854"/>
  <c r="O4" i="54839"/>
  <c r="Q4" i="54839"/>
  <c r="S4" i="54839"/>
  <c r="U4" i="54839"/>
  <c r="O3" i="54839"/>
  <c r="Q3" i="54839"/>
  <c r="S3" i="54839"/>
  <c r="U3" i="54839"/>
  <c r="D55" i="54843"/>
  <c r="D71" i="54843"/>
  <c r="B111" i="54843"/>
  <c r="B117" i="54843"/>
  <c r="B130" i="54843"/>
  <c r="E11" i="101"/>
  <c r="B104" i="54843"/>
  <c r="E20" i="54843"/>
  <c r="D20" i="54843"/>
  <c r="C19" i="54848"/>
  <c r="C20" i="54848"/>
  <c r="C27" i="54848"/>
  <c r="F19" i="54832"/>
  <c r="B103" i="54843"/>
  <c r="B115" i="54843"/>
  <c r="B128" i="54843"/>
  <c r="F71" i="54843"/>
  <c r="E5" i="54843"/>
  <c r="E29" i="54832"/>
  <c r="E32" i="54832"/>
  <c r="E30" i="54832"/>
  <c r="E35" i="54832"/>
  <c r="E28" i="54832"/>
  <c r="I19" i="54832"/>
  <c r="C10" i="54845"/>
  <c r="E41" i="54832"/>
  <c r="E33" i="54832"/>
  <c r="E38" i="54832"/>
  <c r="E40" i="54832"/>
  <c r="E11" i="54856"/>
  <c r="E3" i="54848"/>
  <c r="E55" i="54843"/>
  <c r="F55" i="54843"/>
  <c r="E44" i="54832"/>
  <c r="E34" i="54832"/>
  <c r="E42" i="54832"/>
  <c r="E37" i="54832"/>
  <c r="E39" i="54832"/>
  <c r="E31" i="54832"/>
  <c r="B129" i="54843"/>
  <c r="F11" i="54856"/>
  <c r="H5" i="54839"/>
  <c r="B106" i="54843"/>
  <c r="B13" i="54841"/>
  <c r="B14" i="54841"/>
  <c r="R53" i="54832"/>
  <c r="U53" i="54832"/>
  <c r="X53" i="54832"/>
  <c r="E128" i="54843"/>
  <c r="F128" i="54843"/>
  <c r="F130" i="54843"/>
  <c r="F21" i="54843"/>
  <c r="D104" i="54843"/>
  <c r="D106" i="54843"/>
  <c r="E106" i="54843"/>
  <c r="E131" i="54843"/>
  <c r="G72" i="54843"/>
  <c r="H72" i="54843"/>
  <c r="D25" i="16"/>
  <c r="E104" i="54843"/>
  <c r="D107" i="54843"/>
  <c r="R8" i="54832"/>
  <c r="U8" i="54832"/>
  <c r="X8" i="54832"/>
  <c r="G71" i="54843"/>
  <c r="K10" i="54858"/>
  <c r="L10" i="54858"/>
  <c r="C10" i="54858"/>
  <c r="AA13" i="54843"/>
  <c r="G55" i="54843"/>
  <c r="G11" i="54856"/>
  <c r="G21" i="54843"/>
  <c r="F20" i="54843"/>
  <c r="L6" i="54839"/>
  <c r="J5" i="54839"/>
  <c r="H21" i="54843"/>
  <c r="G20" i="54843"/>
  <c r="R52" i="54832"/>
  <c r="H11" i="54856"/>
  <c r="I56" i="54843"/>
  <c r="H55" i="54843"/>
  <c r="J56" i="54843"/>
  <c r="I55" i="54843"/>
  <c r="U52" i="54832"/>
  <c r="X52" i="54832"/>
  <c r="I11" i="54856"/>
  <c r="F5" i="54843"/>
  <c r="G5" i="54843"/>
  <c r="H5" i="54843"/>
  <c r="I21" i="54843"/>
  <c r="H20" i="54843"/>
  <c r="I5" i="54843"/>
  <c r="O9" i="54839"/>
  <c r="Q9" i="54839"/>
  <c r="S9" i="54839"/>
  <c r="U9" i="54839"/>
  <c r="W9" i="54839"/>
  <c r="O10" i="54839"/>
  <c r="Q10" i="54839"/>
  <c r="S10" i="54839"/>
  <c r="U10" i="54839"/>
  <c r="W10" i="54839"/>
  <c r="N12" i="54839"/>
  <c r="P12" i="54839"/>
  <c r="R12" i="54839"/>
  <c r="T12" i="54839"/>
  <c r="V12" i="54839"/>
  <c r="O24" i="54839"/>
  <c r="Q24" i="54839"/>
  <c r="S24" i="54839"/>
  <c r="U24" i="54839"/>
  <c r="W24" i="54839"/>
  <c r="N16" i="54839"/>
  <c r="P16" i="54839"/>
  <c r="R16" i="54839"/>
  <c r="T16" i="54839"/>
  <c r="V16" i="54839"/>
  <c r="N17" i="54839"/>
  <c r="P17" i="54839"/>
  <c r="R17" i="54839"/>
  <c r="T17" i="54839"/>
  <c r="V17" i="54839"/>
  <c r="N18" i="54839"/>
  <c r="P18" i="54839"/>
  <c r="R18" i="54839"/>
  <c r="T18" i="54839"/>
  <c r="V18" i="54839"/>
  <c r="N19" i="54839"/>
  <c r="P19" i="54839"/>
  <c r="R19" i="54839"/>
  <c r="T19" i="54839"/>
  <c r="V19" i="54839"/>
  <c r="N20" i="54839"/>
  <c r="P20" i="54839"/>
  <c r="R20" i="54839"/>
  <c r="T20" i="54839"/>
  <c r="V20" i="54839"/>
  <c r="N21" i="54839"/>
  <c r="P21" i="54839"/>
  <c r="R21" i="54839"/>
  <c r="T21" i="54839"/>
  <c r="V21" i="54839"/>
  <c r="N22" i="54839"/>
  <c r="P22" i="54839"/>
  <c r="R22" i="54839"/>
  <c r="T22" i="54839"/>
  <c r="V22" i="54839"/>
  <c r="N25" i="54839"/>
  <c r="P25" i="54839"/>
  <c r="R25" i="54839"/>
  <c r="T25" i="54839"/>
  <c r="V25" i="54839"/>
  <c r="N26" i="54839"/>
  <c r="P26" i="54839"/>
  <c r="R26" i="54839"/>
  <c r="T26" i="54839"/>
  <c r="V26" i="54839"/>
  <c r="N27" i="54839"/>
  <c r="P27" i="54839"/>
  <c r="R27" i="54839"/>
  <c r="T27" i="54839"/>
  <c r="V27" i="54839"/>
  <c r="N28" i="54839"/>
  <c r="P28" i="54839"/>
  <c r="R28" i="54839"/>
  <c r="T28" i="54839"/>
  <c r="V28" i="54839"/>
  <c r="I14" i="54854"/>
  <c r="I17" i="54848"/>
  <c r="J13" i="54848"/>
  <c r="L14" i="54854"/>
  <c r="G14" i="54854"/>
  <c r="G17" i="54848"/>
  <c r="H13" i="54848"/>
  <c r="C25" i="54845"/>
  <c r="C26" i="54845"/>
  <c r="J21" i="54843"/>
  <c r="J5" i="54843"/>
  <c r="J27" i="54843"/>
  <c r="I20" i="54843"/>
  <c r="K56" i="54843"/>
  <c r="J55" i="54843"/>
  <c r="J11" i="54856"/>
  <c r="K11" i="54856"/>
  <c r="K21" i="54843"/>
  <c r="J20" i="54843"/>
  <c r="L11" i="54856"/>
  <c r="K5" i="54843"/>
  <c r="L21" i="54843"/>
  <c r="K20" i="54843"/>
  <c r="L20" i="54843"/>
  <c r="N6" i="54858"/>
  <c r="AA17" i="54843"/>
  <c r="AA16" i="54843"/>
  <c r="AA12" i="54843"/>
  <c r="C57" i="54839"/>
  <c r="D10" i="54858"/>
  <c r="N10" i="54858"/>
  <c r="J39" i="54832"/>
  <c r="J38" i="54832"/>
  <c r="J37" i="54832"/>
  <c r="J35" i="54832"/>
  <c r="J34" i="54832"/>
  <c r="L19" i="54832"/>
  <c r="M30" i="54832"/>
  <c r="J29" i="54832"/>
  <c r="D42" i="54832"/>
  <c r="I21" i="54832"/>
  <c r="D27" i="16"/>
  <c r="F21" i="54832"/>
  <c r="F23" i="54832"/>
  <c r="F25" i="54832"/>
  <c r="H29" i="54832"/>
  <c r="D11" i="54858"/>
  <c r="K9" i="16"/>
  <c r="F7" i="54832"/>
  <c r="F11" i="54832"/>
  <c r="F12" i="54832"/>
  <c r="F51" i="54832"/>
  <c r="C18" i="54845"/>
  <c r="L29" i="54839"/>
  <c r="D13" i="54840"/>
  <c r="D4" i="54856"/>
  <c r="AC14" i="54839"/>
  <c r="C17" i="54845"/>
  <c r="V13" i="16"/>
  <c r="AQ13" i="54832"/>
  <c r="AF32" i="54832"/>
  <c r="AL32" i="54832"/>
  <c r="M10" i="54858"/>
  <c r="I9" i="54832"/>
  <c r="F9" i="54832"/>
  <c r="C54" i="54832"/>
  <c r="K5" i="54858"/>
  <c r="N6" i="54839"/>
  <c r="L5" i="54839"/>
  <c r="L56" i="54843"/>
  <c r="K55" i="54843"/>
  <c r="E129" i="54843"/>
  <c r="E126" i="54843"/>
  <c r="C60" i="54832"/>
  <c r="C62" i="54832"/>
  <c r="AF30" i="54832"/>
  <c r="AL30" i="54832"/>
  <c r="E2" i="54848"/>
  <c r="G18" i="54854"/>
  <c r="D18" i="54854"/>
  <c r="C57" i="54832"/>
  <c r="E132" i="54843"/>
  <c r="B15" i="54841"/>
  <c r="C63" i="54832"/>
  <c r="AI35" i="54832"/>
  <c r="B124" i="54843"/>
  <c r="B19" i="54854"/>
  <c r="D19" i="54848"/>
  <c r="H71" i="54843"/>
  <c r="I72" i="54843"/>
  <c r="C55" i="54832"/>
  <c r="AI37" i="54832"/>
  <c r="B121" i="54843"/>
  <c r="E18" i="54854"/>
  <c r="H18" i="54854"/>
  <c r="AI34" i="54832"/>
  <c r="AF34" i="54832"/>
  <c r="AL34" i="54832"/>
  <c r="F3" i="54848"/>
  <c r="F18" i="54854"/>
  <c r="H17" i="54854"/>
  <c r="V12" i="16"/>
  <c r="T11" i="54840"/>
  <c r="C61" i="54832"/>
  <c r="B123" i="54843"/>
  <c r="AF31" i="54832"/>
  <c r="AL31" i="54832"/>
  <c r="AI31" i="54832"/>
  <c r="E4" i="54843"/>
  <c r="F11" i="101"/>
  <c r="D14" i="54854"/>
  <c r="E11" i="54854"/>
  <c r="D2" i="54848"/>
  <c r="F23" i="54839"/>
  <c r="B19" i="54856"/>
  <c r="J28" i="54832"/>
  <c r="C27" i="54843"/>
  <c r="C10" i="54843"/>
  <c r="E7" i="54841"/>
  <c r="I11" i="54832"/>
  <c r="O20" i="54832"/>
  <c r="L21" i="54832"/>
  <c r="L22" i="54832"/>
  <c r="L23" i="54832"/>
  <c r="L25" i="54832"/>
  <c r="J32" i="54832"/>
  <c r="J40" i="54832"/>
  <c r="I22" i="54832"/>
  <c r="I23" i="54832"/>
  <c r="I25" i="54832"/>
  <c r="R30" i="54832"/>
  <c r="R31" i="54832"/>
  <c r="P31" i="54832"/>
  <c r="O35" i="54832"/>
  <c r="M35" i="54832"/>
  <c r="O38" i="54832"/>
  <c r="M38" i="54832"/>
  <c r="O39" i="54832"/>
  <c r="M39" i="54832"/>
  <c r="O33" i="54832"/>
  <c r="M33" i="54832"/>
  <c r="B19" i="101"/>
  <c r="B20" i="101"/>
  <c r="E46" i="54832"/>
  <c r="E36" i="54832"/>
  <c r="D26" i="16"/>
  <c r="D28" i="16"/>
  <c r="D30" i="16"/>
  <c r="H31" i="54832"/>
  <c r="H38" i="54832"/>
  <c r="H28" i="54832"/>
  <c r="H37" i="54832"/>
  <c r="H41" i="54832"/>
  <c r="F36" i="54832"/>
  <c r="O37" i="54832"/>
  <c r="M37" i="54832"/>
  <c r="O34" i="54832"/>
  <c r="M34" i="54832"/>
  <c r="AF35" i="54832"/>
  <c r="O29" i="54832"/>
  <c r="M29" i="54832"/>
  <c r="H39" i="54832"/>
  <c r="H32" i="54832"/>
  <c r="H33" i="54832"/>
  <c r="H30" i="54832"/>
  <c r="H40" i="54832"/>
  <c r="H34" i="54832"/>
  <c r="H35" i="54832"/>
  <c r="N29" i="54839"/>
  <c r="AI29" i="54832"/>
  <c r="AI41" i="54832"/>
  <c r="K40" i="54832"/>
  <c r="K38" i="54832"/>
  <c r="K34" i="54832"/>
  <c r="K32" i="54832"/>
  <c r="K30" i="54832"/>
  <c r="K28" i="54832"/>
  <c r="K35" i="54832"/>
  <c r="K29" i="54832"/>
  <c r="K41" i="54832"/>
  <c r="K31" i="54832"/>
  <c r="K37" i="54832"/>
  <c r="K39" i="54832"/>
  <c r="K33" i="54832"/>
  <c r="N40" i="54832"/>
  <c r="N38" i="54832"/>
  <c r="N34" i="54832"/>
  <c r="N32" i="54832"/>
  <c r="N41" i="54832"/>
  <c r="N33" i="54832"/>
  <c r="N35" i="54832"/>
  <c r="N30" i="54832"/>
  <c r="N28" i="54832"/>
  <c r="N37" i="54832"/>
  <c r="N39" i="54832"/>
  <c r="N29" i="54832"/>
  <c r="AE23" i="54832"/>
  <c r="AF37" i="54832"/>
  <c r="AL37" i="54832"/>
  <c r="N31" i="54832"/>
  <c r="P39" i="54832"/>
  <c r="R39" i="54832"/>
  <c r="R35" i="54832"/>
  <c r="P35" i="54832"/>
  <c r="O40" i="54832"/>
  <c r="M40" i="54832"/>
  <c r="L11" i="54832"/>
  <c r="L12" i="54832"/>
  <c r="L51" i="54832"/>
  <c r="B20" i="54856"/>
  <c r="E14" i="54854"/>
  <c r="E17" i="54848"/>
  <c r="F13" i="54848"/>
  <c r="F11" i="54854"/>
  <c r="G3" i="54848"/>
  <c r="F2" i="54848"/>
  <c r="O7" i="54832"/>
  <c r="E19" i="54854"/>
  <c r="D19" i="54854"/>
  <c r="F19" i="54854"/>
  <c r="H19" i="54854"/>
  <c r="G19" i="54854"/>
  <c r="B20" i="54854"/>
  <c r="C19" i="54854"/>
  <c r="B16" i="54841"/>
  <c r="P33" i="54832"/>
  <c r="R33" i="54832"/>
  <c r="R38" i="54832"/>
  <c r="P38" i="54832"/>
  <c r="S31" i="54832"/>
  <c r="U31" i="54832"/>
  <c r="O32" i="54832"/>
  <c r="M32" i="54832"/>
  <c r="AE21" i="54832"/>
  <c r="L9" i="54832"/>
  <c r="R20" i="54832"/>
  <c r="O21" i="54832"/>
  <c r="O22" i="54832"/>
  <c r="O19" i="54832"/>
  <c r="O28" i="54832"/>
  <c r="M28" i="54832"/>
  <c r="G11" i="101"/>
  <c r="F4" i="54843"/>
  <c r="U30" i="54832"/>
  <c r="S30" i="54832"/>
  <c r="I12" i="54832"/>
  <c r="I51" i="54832"/>
  <c r="H23" i="54839"/>
  <c r="G23" i="54839"/>
  <c r="AG35" i="54832"/>
  <c r="AL35" i="54832"/>
  <c r="J72" i="54843"/>
  <c r="I71" i="54843"/>
  <c r="L55" i="54843"/>
  <c r="P6" i="54839"/>
  <c r="N5" i="54839"/>
  <c r="R37" i="54832"/>
  <c r="P37" i="54832"/>
  <c r="R34" i="54832"/>
  <c r="P34" i="54832"/>
  <c r="R29" i="54832"/>
  <c r="P29" i="54832"/>
  <c r="O23" i="54832"/>
  <c r="O25" i="54832"/>
  <c r="P29" i="54839"/>
  <c r="Q40" i="54832"/>
  <c r="Q38" i="54832"/>
  <c r="Q34" i="54832"/>
  <c r="Q32" i="54832"/>
  <c r="Q30" i="54832"/>
  <c r="Q28" i="54832"/>
  <c r="Q41" i="54832"/>
  <c r="Q33" i="54832"/>
  <c r="Q35" i="54832"/>
  <c r="Q37" i="54832"/>
  <c r="Q29" i="54832"/>
  <c r="Q31" i="54832"/>
  <c r="Q39" i="54832"/>
  <c r="P5" i="54839"/>
  <c r="R6" i="54839"/>
  <c r="U20" i="54832"/>
  <c r="R21" i="54832"/>
  <c r="R22" i="54832"/>
  <c r="R23" i="54832"/>
  <c r="R25" i="54832"/>
  <c r="R19" i="54832"/>
  <c r="R32" i="54832"/>
  <c r="P32" i="54832"/>
  <c r="U38" i="54832"/>
  <c r="S38" i="54832"/>
  <c r="K36" i="54832"/>
  <c r="O9" i="54832"/>
  <c r="F14" i="54854"/>
  <c r="F17" i="54848"/>
  <c r="G13" i="54848"/>
  <c r="G11" i="54854"/>
  <c r="F12" i="54854"/>
  <c r="F14" i="54848"/>
  <c r="F13" i="54854"/>
  <c r="F15" i="54848"/>
  <c r="B21" i="54856"/>
  <c r="O11" i="54832"/>
  <c r="U35" i="54832"/>
  <c r="S35" i="54832"/>
  <c r="J23" i="54839"/>
  <c r="I23" i="54839"/>
  <c r="X31" i="54832"/>
  <c r="Y31" i="54832"/>
  <c r="V31" i="54832"/>
  <c r="U33" i="54832"/>
  <c r="S33" i="54832"/>
  <c r="G2" i="54848"/>
  <c r="G19" i="54848"/>
  <c r="H3" i="54848"/>
  <c r="U39" i="54832"/>
  <c r="S39" i="54832"/>
  <c r="X30" i="54832"/>
  <c r="Y30" i="54832"/>
  <c r="V30" i="54832"/>
  <c r="P28" i="54832"/>
  <c r="R28" i="54832"/>
  <c r="AF28" i="54832"/>
  <c r="AG28" i="54832"/>
  <c r="F20" i="54854"/>
  <c r="D20" i="54854"/>
  <c r="C20" i="54854"/>
  <c r="H20" i="54854"/>
  <c r="E20" i="54854"/>
  <c r="G20" i="54854"/>
  <c r="B21" i="54854"/>
  <c r="R40" i="54832"/>
  <c r="P40" i="54832"/>
  <c r="K72" i="54843"/>
  <c r="J78" i="54843"/>
  <c r="J80" i="54843"/>
  <c r="J71" i="54843"/>
  <c r="G4" i="54843"/>
  <c r="H11" i="101"/>
  <c r="R7" i="54832"/>
  <c r="U37" i="54832"/>
  <c r="S37" i="54832"/>
  <c r="U34" i="54832"/>
  <c r="S34" i="54832"/>
  <c r="U29" i="54832"/>
  <c r="S29" i="54832"/>
  <c r="R29" i="54839"/>
  <c r="T40" i="54832"/>
  <c r="T38" i="54832"/>
  <c r="T34" i="54832"/>
  <c r="T32" i="54832"/>
  <c r="T30" i="54832"/>
  <c r="T28" i="54832"/>
  <c r="T41" i="54832"/>
  <c r="T33" i="54832"/>
  <c r="T35" i="54832"/>
  <c r="T37" i="54832"/>
  <c r="T29" i="54832"/>
  <c r="T31" i="54832"/>
  <c r="T39" i="54832"/>
  <c r="S28" i="54832"/>
  <c r="U28" i="54832"/>
  <c r="I3" i="54848"/>
  <c r="H2" i="54848"/>
  <c r="X33" i="54832"/>
  <c r="Y33" i="54832"/>
  <c r="V33" i="54832"/>
  <c r="I36" i="54832"/>
  <c r="S32" i="54832"/>
  <c r="U32" i="54832"/>
  <c r="R9" i="54832"/>
  <c r="I11" i="101"/>
  <c r="S40" i="54832"/>
  <c r="U40" i="54832"/>
  <c r="V39" i="54832"/>
  <c r="X39" i="54832"/>
  <c r="Y39" i="54832"/>
  <c r="U21" i="54832"/>
  <c r="X20" i="54832"/>
  <c r="U22" i="54832"/>
  <c r="U23" i="54832"/>
  <c r="U25" i="54832"/>
  <c r="U19" i="54832"/>
  <c r="X7" i="54832"/>
  <c r="U7" i="54832"/>
  <c r="AL28" i="54832"/>
  <c r="X35" i="54832"/>
  <c r="Y35" i="54832"/>
  <c r="V35" i="54832"/>
  <c r="G12" i="54854"/>
  <c r="G14" i="54848"/>
  <c r="G13" i="54854"/>
  <c r="G15" i="54848"/>
  <c r="H11" i="54854"/>
  <c r="V38" i="54832"/>
  <c r="X38" i="54832"/>
  <c r="Y38" i="54832"/>
  <c r="T6" i="54839"/>
  <c r="R5" i="54839"/>
  <c r="H4" i="54843"/>
  <c r="L72" i="54843"/>
  <c r="K71" i="54843"/>
  <c r="C21" i="54854"/>
  <c r="F21" i="54854"/>
  <c r="H21" i="54854"/>
  <c r="B22" i="54854"/>
  <c r="D21" i="54854"/>
  <c r="G21" i="54854"/>
  <c r="E21" i="54854"/>
  <c r="AL29" i="54832"/>
  <c r="L23" i="54839"/>
  <c r="K23" i="54839"/>
  <c r="R11" i="54832"/>
  <c r="R12" i="54832"/>
  <c r="R51" i="54832"/>
  <c r="B22" i="54856"/>
  <c r="O12" i="54832"/>
  <c r="O51" i="54832"/>
  <c r="F42" i="54832"/>
  <c r="G36" i="54832"/>
  <c r="G42" i="54832"/>
  <c r="V37" i="54832"/>
  <c r="X37" i="54832"/>
  <c r="Y37" i="54832"/>
  <c r="X34" i="54832"/>
  <c r="Y34" i="54832"/>
  <c r="V34" i="54832"/>
  <c r="V29" i="54832"/>
  <c r="X29" i="54832"/>
  <c r="Y29" i="54832"/>
  <c r="T29" i="54839"/>
  <c r="W40" i="54832"/>
  <c r="W38" i="54832"/>
  <c r="W34" i="54832"/>
  <c r="W32" i="54832"/>
  <c r="W30" i="54832"/>
  <c r="W28" i="54832"/>
  <c r="W41" i="54832"/>
  <c r="W33" i="54832"/>
  <c r="W35" i="54832"/>
  <c r="W37" i="54832"/>
  <c r="W29" i="54832"/>
  <c r="W31" i="54832"/>
  <c r="W39" i="54832"/>
  <c r="B23" i="54856"/>
  <c r="U11" i="54832"/>
  <c r="U12" i="54832"/>
  <c r="U51" i="54832"/>
  <c r="X11" i="54832"/>
  <c r="X12" i="54832"/>
  <c r="X51" i="54832"/>
  <c r="L71" i="54843"/>
  <c r="V6" i="54839"/>
  <c r="T5" i="54839"/>
  <c r="U9" i="54832"/>
  <c r="X21" i="54832"/>
  <c r="X22" i="54832"/>
  <c r="X23" i="54832"/>
  <c r="X25" i="54832"/>
  <c r="X19" i="54832"/>
  <c r="L36" i="54832"/>
  <c r="Q36" i="54832"/>
  <c r="I2" i="54848"/>
  <c r="I19" i="54848"/>
  <c r="J3" i="54848"/>
  <c r="H42" i="54832"/>
  <c r="N23" i="54839"/>
  <c r="M23" i="54839"/>
  <c r="I4" i="54843"/>
  <c r="X9" i="54832"/>
  <c r="X32" i="54832"/>
  <c r="Y32" i="54832"/>
  <c r="V32" i="54832"/>
  <c r="B23" i="54854"/>
  <c r="H22" i="54854"/>
  <c r="C22" i="54854"/>
  <c r="G22" i="54854"/>
  <c r="F22" i="54854"/>
  <c r="D22" i="54854"/>
  <c r="E22" i="54854"/>
  <c r="X40" i="54832"/>
  <c r="Y40" i="54832"/>
  <c r="V40" i="54832"/>
  <c r="H12" i="54854"/>
  <c r="H14" i="54848"/>
  <c r="I11" i="54854"/>
  <c r="H13" i="54854"/>
  <c r="H15" i="54848"/>
  <c r="H14" i="54854"/>
  <c r="H17" i="54848"/>
  <c r="I13" i="54848"/>
  <c r="J11" i="101"/>
  <c r="J36" i="54832"/>
  <c r="J42" i="54832"/>
  <c r="I42" i="54832"/>
  <c r="V28" i="54832"/>
  <c r="X28" i="54832"/>
  <c r="V29" i="54839"/>
  <c r="Z41" i="54832"/>
  <c r="Z37" i="54832"/>
  <c r="Z33" i="54832"/>
  <c r="Z28" i="54832"/>
  <c r="Z40" i="54832"/>
  <c r="Z32" i="54832"/>
  <c r="Z30" i="54832"/>
  <c r="Z29" i="54832"/>
  <c r="Z31" i="54832"/>
  <c r="Z39" i="54832"/>
  <c r="Z38" i="54832"/>
  <c r="Z35" i="54832"/>
  <c r="Z34" i="54832"/>
  <c r="I13" i="54854"/>
  <c r="I15" i="54848"/>
  <c r="J11" i="54854"/>
  <c r="I12" i="54854"/>
  <c r="I14" i="54848"/>
  <c r="G23" i="54854"/>
  <c r="E23" i="54854"/>
  <c r="F23" i="54854"/>
  <c r="D23" i="54854"/>
  <c r="C23" i="54854"/>
  <c r="H23" i="54854"/>
  <c r="B24" i="54854"/>
  <c r="J12" i="54843"/>
  <c r="J63" i="54843"/>
  <c r="J10" i="54843"/>
  <c r="J4" i="54843"/>
  <c r="P23" i="54839"/>
  <c r="O23" i="54839"/>
  <c r="O36" i="54832"/>
  <c r="T36" i="54832"/>
  <c r="K11" i="101"/>
  <c r="J2" i="54848"/>
  <c r="K3" i="54848"/>
  <c r="J19" i="54848"/>
  <c r="M36" i="54832"/>
  <c r="M42" i="54832"/>
  <c r="L42" i="54832"/>
  <c r="Y28" i="54832"/>
  <c r="K42" i="54832"/>
  <c r="V5" i="54839"/>
  <c r="B24" i="54856"/>
  <c r="N42" i="54832"/>
  <c r="P36" i="54832"/>
  <c r="P42" i="54832"/>
  <c r="O42" i="54832"/>
  <c r="K12" i="54843"/>
  <c r="K63" i="54843"/>
  <c r="L5" i="54843"/>
  <c r="K4" i="54843"/>
  <c r="D24" i="54854"/>
  <c r="E24" i="54854"/>
  <c r="F24" i="54854"/>
  <c r="G24" i="54854"/>
  <c r="H24" i="54854"/>
  <c r="C24" i="54854"/>
  <c r="B25" i="54854"/>
  <c r="J12" i="54854"/>
  <c r="J14" i="54848"/>
  <c r="J13" i="54854"/>
  <c r="J15" i="54848"/>
  <c r="J14" i="54854"/>
  <c r="J17" i="54848"/>
  <c r="K13" i="54848"/>
  <c r="K11" i="54854"/>
  <c r="B25" i="54856"/>
  <c r="K19" i="54848"/>
  <c r="L3" i="54848"/>
  <c r="K2" i="54848"/>
  <c r="L11" i="101"/>
  <c r="R36" i="54832"/>
  <c r="W36" i="54832"/>
  <c r="Q23" i="54839"/>
  <c r="R23" i="54839"/>
  <c r="Q42" i="54832"/>
  <c r="Z36" i="54832"/>
  <c r="X36" i="54832"/>
  <c r="U36" i="54832"/>
  <c r="S23" i="54839"/>
  <c r="T23" i="54839"/>
  <c r="S36" i="54832"/>
  <c r="S42" i="54832"/>
  <c r="R42" i="54832"/>
  <c r="L19" i="54848"/>
  <c r="L2" i="54848"/>
  <c r="B26" i="54856"/>
  <c r="H25" i="54854"/>
  <c r="D25" i="54854"/>
  <c r="F25" i="54854"/>
  <c r="E25" i="54854"/>
  <c r="C25" i="54854"/>
  <c r="B26" i="54854"/>
  <c r="G25" i="54854"/>
  <c r="L11" i="54854"/>
  <c r="K13" i="54854"/>
  <c r="K15" i="54848"/>
  <c r="K14" i="54854"/>
  <c r="K17" i="54848"/>
  <c r="L13" i="54848"/>
  <c r="K12" i="54854"/>
  <c r="K14" i="54848"/>
  <c r="L4" i="54843"/>
  <c r="T42" i="54832"/>
  <c r="Y36" i="54832"/>
  <c r="Y42" i="54832"/>
  <c r="X42" i="54832"/>
  <c r="L12" i="54854"/>
  <c r="L14" i="54848"/>
  <c r="L13" i="54854"/>
  <c r="L15" i="54848"/>
  <c r="B27" i="54856"/>
  <c r="D26" i="54854"/>
  <c r="C26" i="54854"/>
  <c r="B27" i="54854"/>
  <c r="G26" i="54854"/>
  <c r="E26" i="54854"/>
  <c r="F26" i="54854"/>
  <c r="H26" i="54854"/>
  <c r="U23" i="54839"/>
  <c r="V23" i="54839"/>
  <c r="W23" i="54839"/>
  <c r="V36" i="54832"/>
  <c r="V42" i="54832"/>
  <c r="U42" i="54832"/>
  <c r="O55" i="54832"/>
  <c r="O57" i="54832"/>
  <c r="C27" i="54854"/>
  <c r="H27" i="54854"/>
  <c r="E27" i="54854"/>
  <c r="G27" i="54854"/>
  <c r="F27" i="54854"/>
  <c r="D27" i="54854"/>
  <c r="B28" i="54854"/>
  <c r="Z42" i="54832"/>
  <c r="B28" i="54856"/>
  <c r="W42" i="54832"/>
  <c r="B29" i="54856"/>
  <c r="R55" i="54832"/>
  <c r="R57" i="54832"/>
  <c r="C28" i="54854"/>
  <c r="H28" i="54854"/>
  <c r="D28" i="54854"/>
  <c r="G28" i="54854"/>
  <c r="E28" i="54854"/>
  <c r="B29" i="54854"/>
  <c r="F28" i="54854"/>
  <c r="B30" i="54856"/>
  <c r="F29" i="54854"/>
  <c r="D29" i="54854"/>
  <c r="C29" i="54854"/>
  <c r="D9" i="54854"/>
  <c r="G29" i="54854"/>
  <c r="B30" i="54854"/>
  <c r="E29" i="54854"/>
  <c r="H29" i="54854"/>
  <c r="U55" i="54832"/>
  <c r="U57" i="54832"/>
  <c r="X55" i="54832"/>
  <c r="X57" i="54832"/>
  <c r="B31" i="54856"/>
  <c r="B31" i="54854"/>
  <c r="D30" i="54854"/>
  <c r="F30" i="54854"/>
  <c r="H30" i="54854"/>
  <c r="C30" i="54854"/>
  <c r="G30" i="54854"/>
  <c r="E30" i="54854"/>
  <c r="B32" i="54856"/>
  <c r="C31" i="54854"/>
  <c r="F31" i="54854"/>
  <c r="G31" i="54854"/>
  <c r="B32" i="54854"/>
  <c r="H31" i="54854"/>
  <c r="D31" i="54854"/>
  <c r="E31" i="54854"/>
  <c r="B33" i="54854"/>
  <c r="F32" i="54854"/>
  <c r="E32" i="54854"/>
  <c r="H32" i="54854"/>
  <c r="G32" i="54854"/>
  <c r="D32" i="54854"/>
  <c r="C32" i="54854"/>
  <c r="B33" i="54856"/>
  <c r="H33" i="54854"/>
  <c r="G33" i="54854"/>
  <c r="B34" i="54854"/>
  <c r="D33" i="54854"/>
  <c r="C33" i="54854"/>
  <c r="F33" i="54854"/>
  <c r="E33" i="54854"/>
  <c r="B34" i="54856"/>
  <c r="B35" i="54856"/>
  <c r="H34" i="54854"/>
  <c r="G34" i="54854"/>
  <c r="E34" i="54854"/>
  <c r="D34" i="54854"/>
  <c r="B35" i="54854"/>
  <c r="F34" i="54854"/>
  <c r="C34" i="54854"/>
  <c r="B36" i="54856"/>
  <c r="D35" i="54854"/>
  <c r="F35" i="54854"/>
  <c r="E35" i="54854"/>
  <c r="B36" i="54854"/>
  <c r="G35" i="54854"/>
  <c r="H35" i="54854"/>
  <c r="C35" i="54854"/>
  <c r="C36" i="54854"/>
  <c r="G36" i="54854"/>
  <c r="E36" i="54854"/>
  <c r="D36" i="54854"/>
  <c r="H36" i="54854"/>
  <c r="F36" i="54854"/>
  <c r="B37" i="54854"/>
  <c r="B37" i="54856"/>
  <c r="B38" i="54856"/>
  <c r="C37" i="54854"/>
  <c r="G37" i="54854"/>
  <c r="B38" i="54854"/>
  <c r="F37" i="54854"/>
  <c r="E37" i="54854"/>
  <c r="D37" i="54854"/>
  <c r="H37" i="54854"/>
  <c r="B39" i="54856"/>
  <c r="C38" i="54854"/>
  <c r="G38" i="54854"/>
  <c r="E38" i="54854"/>
  <c r="B39" i="54854"/>
  <c r="H38" i="54854"/>
  <c r="D38" i="54854"/>
  <c r="F38" i="54854"/>
  <c r="B40" i="54856"/>
  <c r="D39" i="54854"/>
  <c r="H39" i="54854"/>
  <c r="B40" i="54854"/>
  <c r="F39" i="54854"/>
  <c r="E39" i="54854"/>
  <c r="G39" i="54854"/>
  <c r="C39" i="54854"/>
  <c r="H40" i="54854"/>
  <c r="D40" i="54854"/>
  <c r="C40" i="54854"/>
  <c r="B41" i="54854"/>
  <c r="F40" i="54854"/>
  <c r="G40" i="54854"/>
  <c r="E40" i="54854"/>
  <c r="B41" i="54856"/>
  <c r="B42" i="54856"/>
  <c r="G41" i="54854"/>
  <c r="C41" i="54854"/>
  <c r="H41" i="54854"/>
  <c r="F41" i="54854"/>
  <c r="E41" i="54854"/>
  <c r="B42" i="54854"/>
  <c r="D41" i="54854"/>
  <c r="D42" i="54854"/>
  <c r="B43" i="54854"/>
  <c r="H42" i="54854"/>
  <c r="E42" i="54854"/>
  <c r="G42" i="54854"/>
  <c r="C42" i="54854"/>
  <c r="F42" i="54854"/>
  <c r="B43" i="54856"/>
  <c r="B44" i="54856"/>
  <c r="G43" i="54854"/>
  <c r="H43" i="54854"/>
  <c r="F43" i="54854"/>
  <c r="E43" i="54854"/>
  <c r="D43" i="54854"/>
  <c r="B44" i="54854"/>
  <c r="C43" i="54854"/>
  <c r="B45" i="54856"/>
  <c r="E44" i="54854"/>
  <c r="H44" i="54854"/>
  <c r="F44" i="54854"/>
  <c r="C44" i="54854"/>
  <c r="G44" i="54854"/>
  <c r="D44" i="54854"/>
  <c r="B45" i="54854"/>
  <c r="G45" i="54854"/>
  <c r="C45" i="54854"/>
  <c r="H45" i="54854"/>
  <c r="F45" i="54854"/>
  <c r="B46" i="54854"/>
  <c r="E45" i="54854"/>
  <c r="D45" i="54854"/>
  <c r="B46" i="54856"/>
  <c r="B47" i="54856"/>
  <c r="B47" i="54854"/>
  <c r="E46" i="54854"/>
  <c r="H46" i="54854"/>
  <c r="F46" i="54854"/>
  <c r="G46" i="54854"/>
  <c r="D46" i="54854"/>
  <c r="C46" i="54854"/>
  <c r="F47" i="54854"/>
  <c r="C47" i="54854"/>
  <c r="B48" i="54854"/>
  <c r="G47" i="54854"/>
  <c r="E47" i="54854"/>
  <c r="H47" i="54854"/>
  <c r="D47" i="54854"/>
  <c r="B48" i="54856"/>
  <c r="B49" i="54856"/>
  <c r="B49" i="54854"/>
  <c r="C48" i="54854"/>
  <c r="E48" i="54854"/>
  <c r="D48" i="54854"/>
  <c r="H48" i="54854"/>
  <c r="F48" i="54854"/>
  <c r="G48" i="54854"/>
  <c r="C49" i="54854"/>
  <c r="B50" i="54854"/>
  <c r="H49" i="54854"/>
  <c r="G49" i="54854"/>
  <c r="E49" i="54854"/>
  <c r="D49" i="54854"/>
  <c r="F49" i="54854"/>
  <c r="B50" i="54856"/>
  <c r="B51" i="54856"/>
  <c r="G50" i="54854"/>
  <c r="H50" i="54854"/>
  <c r="F50" i="54854"/>
  <c r="C50" i="54854"/>
  <c r="E50" i="54854"/>
  <c r="B51" i="54854"/>
  <c r="D50" i="54854"/>
  <c r="H51" i="54854"/>
  <c r="D51" i="54854"/>
  <c r="F51" i="54854"/>
  <c r="C51" i="54854"/>
  <c r="B52" i="54854"/>
  <c r="G51" i="54854"/>
  <c r="E51" i="54854"/>
  <c r="B52" i="54856"/>
  <c r="B53" i="54856"/>
  <c r="B53" i="54854"/>
  <c r="F52" i="54854"/>
  <c r="D52" i="54854"/>
  <c r="H52" i="54854"/>
  <c r="C52" i="54854"/>
  <c r="E52" i="54854"/>
  <c r="G52" i="54854"/>
  <c r="F53" i="54854"/>
  <c r="E53" i="54854"/>
  <c r="C53" i="54854"/>
  <c r="H53" i="54854"/>
  <c r="G53" i="54854"/>
  <c r="D53" i="54854"/>
  <c r="B54" i="54854"/>
  <c r="B54" i="54856"/>
  <c r="D54" i="54854"/>
  <c r="G54" i="54854"/>
  <c r="B55" i="54854"/>
  <c r="F54" i="54854"/>
  <c r="C54" i="54854"/>
  <c r="H54" i="54854"/>
  <c r="E54" i="54854"/>
  <c r="B55" i="54856"/>
  <c r="B56" i="54854"/>
  <c r="H55" i="54854"/>
  <c r="F55" i="54854"/>
  <c r="G55" i="54854"/>
  <c r="E55" i="54854"/>
  <c r="D55" i="54854"/>
  <c r="C55" i="54854"/>
  <c r="B56" i="54856"/>
  <c r="B57" i="54856"/>
  <c r="E56" i="54854"/>
  <c r="D56" i="54854"/>
  <c r="B57" i="54854"/>
  <c r="F56" i="54854"/>
  <c r="C56" i="54854"/>
  <c r="H56" i="54854"/>
  <c r="G56" i="54854"/>
  <c r="B58" i="54856"/>
  <c r="F57" i="54854"/>
  <c r="D57" i="54854"/>
  <c r="E57" i="54854"/>
  <c r="H57" i="54854"/>
  <c r="B58" i="54854"/>
  <c r="C57" i="54854"/>
  <c r="G57" i="54854"/>
  <c r="B59" i="54854"/>
  <c r="C58" i="54854"/>
  <c r="F58" i="54854"/>
  <c r="D58" i="54854"/>
  <c r="E58" i="54854"/>
  <c r="G58" i="54854"/>
  <c r="H58" i="54854"/>
  <c r="B59" i="54856"/>
  <c r="F59" i="54854"/>
  <c r="B60" i="54854"/>
  <c r="C59" i="54854"/>
  <c r="G59" i="54854"/>
  <c r="E59" i="54854"/>
  <c r="D59" i="54854"/>
  <c r="H59" i="54854"/>
  <c r="B60" i="54856"/>
  <c r="B61" i="54856"/>
  <c r="H60" i="54854"/>
  <c r="B61" i="54854"/>
  <c r="G60" i="54854"/>
  <c r="D60" i="54854"/>
  <c r="F60" i="54854"/>
  <c r="C60" i="54854"/>
  <c r="E60" i="54854"/>
  <c r="B62" i="54856"/>
  <c r="F61" i="54854"/>
  <c r="E61" i="54854"/>
  <c r="D61" i="54854"/>
  <c r="C61" i="54854"/>
  <c r="B62" i="54854"/>
  <c r="G61" i="54854"/>
  <c r="H61" i="54854"/>
  <c r="D62" i="54854"/>
  <c r="G62" i="54854"/>
  <c r="B63" i="54854"/>
  <c r="C62" i="54854"/>
  <c r="H62" i="54854"/>
  <c r="F62" i="54854"/>
  <c r="E62" i="54854"/>
  <c r="B63" i="54856"/>
  <c r="B64" i="54856"/>
  <c r="F63" i="54854"/>
  <c r="B64" i="54854"/>
  <c r="H63" i="54854"/>
  <c r="D63" i="54854"/>
  <c r="C63" i="54854"/>
  <c r="G63" i="54854"/>
  <c r="E63" i="54854"/>
  <c r="B65" i="54856"/>
  <c r="D64" i="54854"/>
  <c r="H64" i="54854"/>
  <c r="G64" i="54854"/>
  <c r="F64" i="54854"/>
  <c r="E64" i="54854"/>
  <c r="C64" i="54854"/>
  <c r="B65" i="54854"/>
  <c r="G65" i="54854"/>
  <c r="E65" i="54854"/>
  <c r="C65" i="54854"/>
  <c r="B66" i="54854"/>
  <c r="F65" i="54854"/>
  <c r="H65" i="54854"/>
  <c r="D65" i="54854"/>
  <c r="B66" i="54856"/>
  <c r="B67" i="54856"/>
  <c r="H66" i="54854"/>
  <c r="C66" i="54854"/>
  <c r="D66" i="54854"/>
  <c r="E66" i="54854"/>
  <c r="B67" i="54854"/>
  <c r="G66" i="54854"/>
  <c r="F66" i="54854"/>
  <c r="C67" i="54854"/>
  <c r="F67" i="54854"/>
  <c r="H67" i="54854"/>
  <c r="D67" i="54854"/>
  <c r="B68" i="54854"/>
  <c r="G67" i="54854"/>
  <c r="E67" i="54854"/>
  <c r="B68" i="54856"/>
  <c r="H68" i="54854"/>
  <c r="D68" i="54854"/>
  <c r="G68" i="54854"/>
  <c r="B69" i="54854"/>
  <c r="E68" i="54854"/>
  <c r="F68" i="54854"/>
  <c r="C68" i="54854"/>
  <c r="B69" i="54856"/>
  <c r="C69" i="54854"/>
  <c r="F69" i="54854"/>
  <c r="E69" i="54854"/>
  <c r="G69" i="54854"/>
  <c r="H69" i="54854"/>
  <c r="B70" i="54854"/>
  <c r="D69" i="54854"/>
  <c r="B70" i="54856"/>
  <c r="G70" i="54854"/>
  <c r="E70" i="54854"/>
  <c r="H70" i="54854"/>
  <c r="B71" i="54854"/>
  <c r="D70" i="54854"/>
  <c r="C70" i="54854"/>
  <c r="F70" i="54854"/>
  <c r="B71" i="54856"/>
  <c r="B72" i="54856"/>
  <c r="B72" i="54854"/>
  <c r="G71" i="54854"/>
  <c r="C71" i="54854"/>
  <c r="F71" i="54854"/>
  <c r="H71" i="54854"/>
  <c r="D71" i="54854"/>
  <c r="E71" i="54854"/>
  <c r="G72" i="54854"/>
  <c r="C72" i="54854"/>
  <c r="F72" i="54854"/>
  <c r="D72" i="54854"/>
  <c r="B73" i="54854"/>
  <c r="H72" i="54854"/>
  <c r="E72" i="54854"/>
  <c r="B73" i="54856"/>
  <c r="B74" i="54856"/>
  <c r="G73" i="54854"/>
  <c r="F73" i="54854"/>
  <c r="C73" i="54854"/>
  <c r="D73" i="54854"/>
  <c r="E73" i="54854"/>
  <c r="H73" i="54854"/>
  <c r="B74" i="54854"/>
  <c r="H74" i="54854"/>
  <c r="F74" i="54854"/>
  <c r="C74" i="54854"/>
  <c r="E74" i="54854"/>
  <c r="G74" i="54854"/>
  <c r="D74" i="54854"/>
  <c r="B75" i="54854"/>
  <c r="B75" i="54856"/>
  <c r="G75" i="54854"/>
  <c r="B76" i="54854"/>
  <c r="E75" i="54854"/>
  <c r="C75" i="54854"/>
  <c r="D75" i="54854"/>
  <c r="F75" i="54854"/>
  <c r="H75" i="54854"/>
  <c r="B76" i="54856"/>
  <c r="B77" i="54856"/>
  <c r="F76" i="54854"/>
  <c r="E76" i="54854"/>
  <c r="D76" i="54854"/>
  <c r="G76" i="54854"/>
  <c r="B77" i="54854"/>
  <c r="C76" i="54854"/>
  <c r="H76" i="54854"/>
  <c r="B78" i="54854"/>
  <c r="H77" i="54854"/>
  <c r="C77" i="54854"/>
  <c r="F77" i="54854"/>
  <c r="G77" i="54854"/>
  <c r="D77" i="54854"/>
  <c r="E77" i="54854"/>
  <c r="B78" i="54856"/>
  <c r="B79" i="54856"/>
  <c r="B79" i="54854"/>
  <c r="C78" i="54854"/>
  <c r="G78" i="54854"/>
  <c r="E78" i="54854"/>
  <c r="F78" i="54854"/>
  <c r="D78" i="54854"/>
  <c r="H78" i="54854"/>
  <c r="B80" i="54856"/>
  <c r="G79" i="54854"/>
  <c r="E79" i="54854"/>
  <c r="C79" i="54854"/>
  <c r="B80" i="54854"/>
  <c r="F79" i="54854"/>
  <c r="H79" i="54854"/>
  <c r="D79" i="54854"/>
  <c r="B81" i="54856"/>
  <c r="D80" i="54854"/>
  <c r="C80" i="54854"/>
  <c r="F80" i="54854"/>
  <c r="G80" i="54854"/>
  <c r="B81" i="54854"/>
  <c r="H80" i="54854"/>
  <c r="E80" i="54854"/>
  <c r="B82" i="54854"/>
  <c r="F81" i="54854"/>
  <c r="G81" i="54854"/>
  <c r="E81" i="54854"/>
  <c r="C81" i="54854"/>
  <c r="D81" i="54854"/>
  <c r="H81" i="54854"/>
  <c r="B82" i="54856"/>
  <c r="B83" i="54856"/>
  <c r="H82" i="54854"/>
  <c r="F82" i="54854"/>
  <c r="G82" i="54854"/>
  <c r="D82" i="54854"/>
  <c r="E82" i="54854"/>
  <c r="C82" i="54854"/>
  <c r="B83" i="54854"/>
  <c r="B84" i="54856"/>
  <c r="B84" i="54854"/>
  <c r="C83" i="54854"/>
  <c r="D83" i="54854"/>
  <c r="H83" i="54854"/>
  <c r="E83" i="54854"/>
  <c r="F83" i="54854"/>
  <c r="G83" i="54854"/>
  <c r="E84" i="54854"/>
  <c r="B85" i="54854"/>
  <c r="G84" i="54854"/>
  <c r="F84" i="54854"/>
  <c r="C84" i="54854"/>
  <c r="D84" i="54854"/>
  <c r="H84" i="54854"/>
  <c r="B85" i="54856"/>
  <c r="E85" i="54854"/>
  <c r="C85" i="54854"/>
  <c r="B86" i="54854"/>
  <c r="G85" i="54854"/>
  <c r="F85" i="54854"/>
  <c r="D85" i="54854"/>
  <c r="H85" i="54854"/>
  <c r="B86" i="54856"/>
  <c r="B87" i="54856"/>
  <c r="C86" i="54854"/>
  <c r="D86" i="54854"/>
  <c r="F86" i="54854"/>
  <c r="G86" i="54854"/>
  <c r="E86" i="54854"/>
  <c r="B87" i="54854"/>
  <c r="H86" i="54854"/>
  <c r="C87" i="54854"/>
  <c r="B88" i="54854"/>
  <c r="F87" i="54854"/>
  <c r="G87" i="54854"/>
  <c r="E87" i="54854"/>
  <c r="H87" i="54854"/>
  <c r="D87" i="54854"/>
  <c r="B88" i="54856"/>
  <c r="F88" i="54854"/>
  <c r="B89" i="54854"/>
  <c r="G88" i="54854"/>
  <c r="E88" i="54854"/>
  <c r="D88" i="54854"/>
  <c r="H88" i="54854"/>
  <c r="C88" i="54854"/>
  <c r="B89" i="54856"/>
  <c r="B90" i="54856"/>
  <c r="F89" i="54854"/>
  <c r="B90" i="54854"/>
  <c r="G89" i="54854"/>
  <c r="C89" i="54854"/>
  <c r="D89" i="54854"/>
  <c r="H89" i="54854"/>
  <c r="E89" i="54854"/>
  <c r="C90" i="54854"/>
  <c r="G90" i="54854"/>
  <c r="B91" i="54854"/>
  <c r="F90" i="54854"/>
  <c r="D90" i="54854"/>
  <c r="H90" i="54854"/>
  <c r="E90" i="54854"/>
  <c r="B91" i="54856"/>
  <c r="E91" i="54854"/>
  <c r="F91" i="54854"/>
  <c r="G91" i="54854"/>
  <c r="D91" i="54854"/>
  <c r="H91" i="54854"/>
  <c r="B92" i="54854"/>
  <c r="C91" i="54854"/>
  <c r="B92" i="54856"/>
  <c r="B93" i="54856"/>
  <c r="B93" i="54854"/>
  <c r="H92" i="54854"/>
  <c r="C92" i="54854"/>
  <c r="D92" i="54854"/>
  <c r="F92" i="54854"/>
  <c r="E92" i="54854"/>
  <c r="G92" i="54854"/>
  <c r="G93" i="54854"/>
  <c r="E93" i="54854"/>
  <c r="B94" i="54854"/>
  <c r="D93" i="54854"/>
  <c r="F93" i="54854"/>
  <c r="H93" i="54854"/>
  <c r="C93" i="54854"/>
  <c r="B94" i="54856"/>
  <c r="B95" i="54856"/>
  <c r="D94" i="54854"/>
  <c r="B95" i="54854"/>
  <c r="E94" i="54854"/>
  <c r="G94" i="54854"/>
  <c r="H94" i="54854"/>
  <c r="F94" i="54854"/>
  <c r="C94" i="54854"/>
  <c r="D95" i="54854"/>
  <c r="E95" i="54854"/>
  <c r="C95" i="54854"/>
  <c r="F95" i="54854"/>
  <c r="G95" i="54854"/>
  <c r="B96" i="54854"/>
  <c r="H95" i="54854"/>
  <c r="B96" i="54856"/>
  <c r="B97" i="54856"/>
  <c r="C96" i="54854"/>
  <c r="F96" i="54854"/>
  <c r="G96" i="54854"/>
  <c r="E96" i="54854"/>
  <c r="B97" i="54854"/>
  <c r="H96" i="54854"/>
  <c r="D96" i="54854"/>
  <c r="B98" i="54856"/>
  <c r="F97" i="54854"/>
  <c r="E97" i="54854"/>
  <c r="D97" i="54854"/>
  <c r="C97" i="54854"/>
  <c r="G97" i="54854"/>
  <c r="H97" i="54854"/>
  <c r="B98" i="54854"/>
  <c r="F12" i="54843"/>
  <c r="F63" i="54843"/>
  <c r="B99" i="54856"/>
  <c r="B99" i="54854"/>
  <c r="F98" i="54854"/>
  <c r="H98" i="54854"/>
  <c r="G98" i="54854"/>
  <c r="D98" i="54854"/>
  <c r="E98" i="54854"/>
  <c r="C98" i="54854"/>
  <c r="B100" i="54856"/>
  <c r="G99" i="54854"/>
  <c r="C99" i="54854"/>
  <c r="H99" i="54854"/>
  <c r="E99" i="54854"/>
  <c r="F99" i="54854"/>
  <c r="B100" i="54854"/>
  <c r="D99" i="54854"/>
  <c r="B101" i="54856"/>
  <c r="C100" i="54854"/>
  <c r="H100" i="54854"/>
  <c r="D100" i="54854"/>
  <c r="G100" i="54854"/>
  <c r="F100" i="54854"/>
  <c r="B101" i="54854"/>
  <c r="E100" i="54854"/>
  <c r="B102" i="54854"/>
  <c r="D101" i="54854"/>
  <c r="G101" i="54854"/>
  <c r="E101" i="54854"/>
  <c r="C101" i="54854"/>
  <c r="F101" i="54854"/>
  <c r="H101" i="54854"/>
  <c r="B102" i="54856"/>
  <c r="B103" i="54856"/>
  <c r="E102" i="54854"/>
  <c r="G102" i="54854"/>
  <c r="F102" i="54854"/>
  <c r="B103" i="54854"/>
  <c r="C102" i="54854"/>
  <c r="H102" i="54854"/>
  <c r="D102" i="54854"/>
  <c r="B104" i="54856"/>
  <c r="H103" i="54854"/>
  <c r="C103" i="54854"/>
  <c r="F103" i="54854"/>
  <c r="D103" i="54854"/>
  <c r="G103" i="54854"/>
  <c r="E103" i="54854"/>
  <c r="B104" i="54854"/>
  <c r="G104" i="54854"/>
  <c r="C104" i="54854"/>
  <c r="E104" i="54854"/>
  <c r="F104" i="54854"/>
  <c r="D104" i="54854"/>
  <c r="H104" i="54854"/>
  <c r="B105" i="54854"/>
  <c r="B105" i="54856"/>
  <c r="B106" i="54856"/>
  <c r="B106" i="54854"/>
  <c r="E105" i="54854"/>
  <c r="F105" i="54854"/>
  <c r="G105" i="54854"/>
  <c r="H105" i="54854"/>
  <c r="C105" i="54854"/>
  <c r="D105" i="54854"/>
  <c r="E106" i="54854"/>
  <c r="H106" i="54854"/>
  <c r="D106" i="54854"/>
  <c r="F106" i="54854"/>
  <c r="C106" i="54854"/>
  <c r="B107" i="54854"/>
  <c r="G106" i="54854"/>
  <c r="B107" i="54856"/>
  <c r="H107" i="54854"/>
  <c r="G107" i="54854"/>
  <c r="F107" i="54854"/>
  <c r="C107" i="54854"/>
  <c r="E107" i="54854"/>
  <c r="B108" i="54854"/>
  <c r="D107" i="54854"/>
  <c r="B108" i="54856"/>
  <c r="B109" i="54856"/>
  <c r="G108" i="54854"/>
  <c r="D108" i="54854"/>
  <c r="H108" i="54854"/>
  <c r="F108" i="54854"/>
  <c r="E108" i="54854"/>
  <c r="C108" i="54854"/>
  <c r="B109" i="54854"/>
  <c r="H109" i="54854"/>
  <c r="G109" i="54854"/>
  <c r="C109" i="54854"/>
  <c r="D109" i="54854"/>
  <c r="B110" i="54854"/>
  <c r="F109" i="54854"/>
  <c r="E109" i="54854"/>
  <c r="B110" i="54856"/>
  <c r="E110" i="54854"/>
  <c r="H110" i="54854"/>
  <c r="F110" i="54854"/>
  <c r="D110" i="54854"/>
  <c r="B111" i="54854"/>
  <c r="C110" i="54854"/>
  <c r="G110" i="54854"/>
  <c r="B111" i="54856"/>
  <c r="B112" i="54854"/>
  <c r="H111" i="54854"/>
  <c r="D111" i="54854"/>
  <c r="C111" i="54854"/>
  <c r="E111" i="54854"/>
  <c r="G111" i="54854"/>
  <c r="F111" i="54854"/>
  <c r="B112" i="54856"/>
  <c r="D112" i="54854"/>
  <c r="E112" i="54854"/>
  <c r="H112" i="54854"/>
  <c r="C112" i="54854"/>
  <c r="F112" i="54854"/>
  <c r="B113" i="54854"/>
  <c r="G112" i="54854"/>
  <c r="B113" i="54856"/>
  <c r="G113" i="54854"/>
  <c r="B114" i="54854"/>
  <c r="C113" i="54854"/>
  <c r="D113" i="54854"/>
  <c r="H113" i="54854"/>
  <c r="F113" i="54854"/>
  <c r="E113" i="54854"/>
  <c r="B114" i="54856"/>
  <c r="C114" i="54854"/>
  <c r="H114" i="54854"/>
  <c r="D114" i="54854"/>
  <c r="G114" i="54854"/>
  <c r="B115" i="54854"/>
  <c r="E114" i="54854"/>
  <c r="F114" i="54854"/>
  <c r="B115" i="54856"/>
  <c r="B116" i="54856"/>
  <c r="G115" i="54854"/>
  <c r="C115" i="54854"/>
  <c r="F115" i="54854"/>
  <c r="H115" i="54854"/>
  <c r="D115" i="54854"/>
  <c r="B116" i="54854"/>
  <c r="E115" i="54854"/>
  <c r="C116" i="54854"/>
  <c r="G116" i="54854"/>
  <c r="E116" i="54854"/>
  <c r="B117" i="54854"/>
  <c r="F116" i="54854"/>
  <c r="D116" i="54854"/>
  <c r="H116" i="54854"/>
  <c r="B117" i="54856"/>
  <c r="D117" i="54854"/>
  <c r="H117" i="54854"/>
  <c r="E117" i="54854"/>
  <c r="B118" i="54854"/>
  <c r="G117" i="54854"/>
  <c r="C117" i="54854"/>
  <c r="F117" i="54854"/>
  <c r="B118" i="54856"/>
  <c r="B119" i="54856"/>
  <c r="D118" i="54854"/>
  <c r="E118" i="54854"/>
  <c r="H118" i="54854"/>
  <c r="G118" i="54854"/>
  <c r="C118" i="54854"/>
  <c r="B119" i="54854"/>
  <c r="F118" i="54854"/>
  <c r="C119" i="54854"/>
  <c r="H119" i="54854"/>
  <c r="D119" i="54854"/>
  <c r="G119" i="54854"/>
  <c r="B120" i="54854"/>
  <c r="E119" i="54854"/>
  <c r="F119" i="54854"/>
  <c r="B120" i="54856"/>
  <c r="B121" i="54856"/>
  <c r="B121" i="54854"/>
  <c r="D120" i="54854"/>
  <c r="C120" i="54854"/>
  <c r="G120" i="54854"/>
  <c r="F120" i="54854"/>
  <c r="H120" i="54854"/>
  <c r="E120" i="54854"/>
  <c r="F121" i="54854"/>
  <c r="C121" i="54854"/>
  <c r="D121" i="54854"/>
  <c r="E121" i="54854"/>
  <c r="H121" i="54854"/>
  <c r="G121" i="54854"/>
  <c r="B122" i="54854"/>
  <c r="B122" i="54856"/>
  <c r="B123" i="54856"/>
  <c r="G122" i="54854"/>
  <c r="E122" i="54854"/>
  <c r="H122" i="54854"/>
  <c r="F122" i="54854"/>
  <c r="C122" i="54854"/>
  <c r="B123" i="54854"/>
  <c r="D122" i="54854"/>
  <c r="H123" i="54854"/>
  <c r="D123" i="54854"/>
  <c r="E123" i="54854"/>
  <c r="F123" i="54854"/>
  <c r="C123" i="54854"/>
  <c r="G123" i="54854"/>
  <c r="B124" i="54854"/>
  <c r="B124" i="54856"/>
  <c r="C124" i="54854"/>
  <c r="E124" i="54854"/>
  <c r="B125" i="54854"/>
  <c r="H124" i="54854"/>
  <c r="D124" i="54854"/>
  <c r="F124" i="54854"/>
  <c r="G124" i="54854"/>
  <c r="B125" i="54856"/>
  <c r="B126" i="54856"/>
  <c r="H125" i="54854"/>
  <c r="B126" i="54854"/>
  <c r="G125" i="54854"/>
  <c r="D125" i="54854"/>
  <c r="E125" i="54854"/>
  <c r="C125" i="54854"/>
  <c r="F125" i="54854"/>
  <c r="B127" i="54856"/>
  <c r="D126" i="54854"/>
  <c r="C126" i="54854"/>
  <c r="G126" i="54854"/>
  <c r="B127" i="54854"/>
  <c r="F126" i="54854"/>
  <c r="H126" i="54854"/>
  <c r="E126" i="54854"/>
  <c r="B128" i="54856"/>
  <c r="E127" i="54854"/>
  <c r="C127" i="54854"/>
  <c r="H127" i="54854"/>
  <c r="G127" i="54854"/>
  <c r="B128" i="54854"/>
  <c r="D127" i="54854"/>
  <c r="F127" i="54854"/>
  <c r="H128" i="54854"/>
  <c r="B129" i="54854"/>
  <c r="F128" i="54854"/>
  <c r="D128" i="54854"/>
  <c r="E128" i="54854"/>
  <c r="G128" i="54854"/>
  <c r="C128" i="54854"/>
  <c r="B129" i="54856"/>
  <c r="B130" i="54856"/>
  <c r="H129" i="54854"/>
  <c r="C129" i="54854"/>
  <c r="G129" i="54854"/>
  <c r="D129" i="54854"/>
  <c r="F129" i="54854"/>
  <c r="B130" i="54854"/>
  <c r="E129" i="54854"/>
  <c r="B131" i="54854"/>
  <c r="H130" i="54854"/>
  <c r="F130" i="54854"/>
  <c r="C130" i="54854"/>
  <c r="D130" i="54854"/>
  <c r="E130" i="54854"/>
  <c r="G130" i="54854"/>
  <c r="B131" i="54856"/>
  <c r="E131" i="54854"/>
  <c r="F131" i="54854"/>
  <c r="G131" i="54854"/>
  <c r="C131" i="54854"/>
  <c r="B132" i="54854"/>
  <c r="D131" i="54854"/>
  <c r="H131" i="54854"/>
  <c r="B132" i="54856"/>
  <c r="B133" i="54856"/>
  <c r="H132" i="54854"/>
  <c r="F132" i="54854"/>
  <c r="G132" i="54854"/>
  <c r="C132" i="54854"/>
  <c r="E132" i="54854"/>
  <c r="B133" i="54854"/>
  <c r="D132" i="54854"/>
  <c r="F133" i="54854"/>
  <c r="H133" i="54854"/>
  <c r="G133" i="54854"/>
  <c r="B134" i="54854"/>
  <c r="D133" i="54854"/>
  <c r="C133" i="54854"/>
  <c r="E133" i="54854"/>
  <c r="B134" i="54856"/>
  <c r="B135" i="54856"/>
  <c r="H134" i="54854"/>
  <c r="D134" i="54854"/>
  <c r="C134" i="54854"/>
  <c r="G134" i="54854"/>
  <c r="E134" i="54854"/>
  <c r="B135" i="54854"/>
  <c r="F134" i="54854"/>
  <c r="H135" i="54854"/>
  <c r="G135" i="54854"/>
  <c r="E135" i="54854"/>
  <c r="D135" i="54854"/>
  <c r="B136" i="54854"/>
  <c r="F135" i="54854"/>
  <c r="C135" i="54854"/>
  <c r="B136" i="54856"/>
  <c r="H136" i="54854"/>
  <c r="D136" i="54854"/>
  <c r="E136" i="54854"/>
  <c r="G136" i="54854"/>
  <c r="B137" i="54854"/>
  <c r="C136" i="54854"/>
  <c r="F136" i="54854"/>
  <c r="B137" i="54856"/>
  <c r="B138" i="54856"/>
  <c r="B138" i="54854"/>
  <c r="G137" i="54854"/>
  <c r="E137" i="54854"/>
  <c r="D137" i="54854"/>
  <c r="F137" i="54854"/>
  <c r="H137" i="54854"/>
  <c r="C137" i="54854"/>
  <c r="E138" i="54854"/>
  <c r="B139" i="54854"/>
  <c r="C138" i="54854"/>
  <c r="H138" i="54854"/>
  <c r="F138" i="54854"/>
  <c r="G138" i="54854"/>
  <c r="D138" i="54854"/>
  <c r="B139" i="54856"/>
  <c r="D139" i="54854"/>
  <c r="B140" i="54854"/>
  <c r="G139" i="54854"/>
  <c r="E139" i="54854"/>
  <c r="C139" i="54854"/>
  <c r="H139" i="54854"/>
  <c r="F139" i="54854"/>
  <c r="B140" i="54856"/>
  <c r="B141" i="54854"/>
  <c r="H140" i="54854"/>
  <c r="E140" i="54854"/>
  <c r="G140" i="54854"/>
  <c r="F140" i="54854"/>
  <c r="D140" i="54854"/>
  <c r="C140" i="54854"/>
  <c r="B141" i="54856"/>
  <c r="B142" i="54856"/>
  <c r="B142" i="54854"/>
  <c r="D141" i="54854"/>
  <c r="H141" i="54854"/>
  <c r="F141" i="54854"/>
  <c r="E141" i="54854"/>
  <c r="C141" i="54854"/>
  <c r="G141" i="54854"/>
  <c r="B143" i="54856"/>
  <c r="F142" i="54854"/>
  <c r="G142" i="54854"/>
  <c r="C142" i="54854"/>
  <c r="D142" i="54854"/>
  <c r="E142" i="54854"/>
  <c r="H142" i="54854"/>
  <c r="B143" i="54854"/>
  <c r="B144" i="54856"/>
  <c r="H143" i="54854"/>
  <c r="B144" i="54854"/>
  <c r="E143" i="54854"/>
  <c r="F143" i="54854"/>
  <c r="C143" i="54854"/>
  <c r="D143" i="54854"/>
  <c r="G143" i="54854"/>
  <c r="B145" i="54854"/>
  <c r="D144" i="54854"/>
  <c r="C144" i="54854"/>
  <c r="G144" i="54854"/>
  <c r="H144" i="54854"/>
  <c r="F144" i="54854"/>
  <c r="E144" i="54854"/>
  <c r="B145" i="54856"/>
  <c r="D145" i="54854"/>
  <c r="F145" i="54854"/>
  <c r="G145" i="54854"/>
  <c r="C145" i="54854"/>
  <c r="B146" i="54854"/>
  <c r="E145" i="54854"/>
  <c r="H145" i="54854"/>
  <c r="B146" i="54856"/>
  <c r="B147" i="54856"/>
  <c r="B147" i="54854"/>
  <c r="H146" i="54854"/>
  <c r="G146" i="54854"/>
  <c r="F146" i="54854"/>
  <c r="C146" i="54854"/>
  <c r="D146" i="54854"/>
  <c r="E146" i="54854"/>
  <c r="B148" i="54856"/>
  <c r="H147" i="54854"/>
  <c r="C147" i="54854"/>
  <c r="F147" i="54854"/>
  <c r="D147" i="54854"/>
  <c r="B148" i="54854"/>
  <c r="G147" i="54854"/>
  <c r="E147" i="54854"/>
  <c r="H148" i="54854"/>
  <c r="D148" i="54854"/>
  <c r="F148" i="54854"/>
  <c r="G148" i="54854"/>
  <c r="B149" i="54854"/>
  <c r="E148" i="54854"/>
  <c r="C148" i="54854"/>
  <c r="B149" i="54856"/>
  <c r="B150" i="54856"/>
  <c r="F149" i="54854"/>
  <c r="C149" i="54854"/>
  <c r="E149" i="54854"/>
  <c r="H149" i="54854"/>
  <c r="D149" i="54854"/>
  <c r="B150" i="54854"/>
  <c r="G149" i="54854"/>
  <c r="D150" i="54854"/>
  <c r="G150" i="54854"/>
  <c r="E150" i="54854"/>
  <c r="F150" i="54854"/>
  <c r="H150" i="54854"/>
  <c r="B151" i="54854"/>
  <c r="C150" i="54854"/>
  <c r="B151" i="54856"/>
  <c r="H151" i="54854"/>
  <c r="F151" i="54854"/>
  <c r="D151" i="54854"/>
  <c r="G151" i="54854"/>
  <c r="B152" i="54854"/>
  <c r="C151" i="54854"/>
  <c r="E151" i="54854"/>
  <c r="B152" i="54856"/>
  <c r="B153" i="54854"/>
  <c r="C152" i="54854"/>
  <c r="E152" i="54854"/>
  <c r="H152" i="54854"/>
  <c r="D152" i="54854"/>
  <c r="F152" i="54854"/>
  <c r="G152" i="54854"/>
  <c r="B153" i="54856"/>
  <c r="B154" i="54856"/>
  <c r="E153" i="54854"/>
  <c r="D153" i="54854"/>
  <c r="F153" i="54854"/>
  <c r="B154" i="54854"/>
  <c r="G153" i="54854"/>
  <c r="H153" i="54854"/>
  <c r="C153" i="54854"/>
  <c r="H154" i="54854"/>
  <c r="F154" i="54854"/>
  <c r="E154" i="54854"/>
  <c r="D154" i="54854"/>
  <c r="B155" i="54854"/>
  <c r="G154" i="54854"/>
  <c r="C154" i="54854"/>
  <c r="B155" i="54856"/>
  <c r="F155" i="54854"/>
  <c r="G155" i="54854"/>
  <c r="B156" i="54854"/>
  <c r="H155" i="54854"/>
  <c r="C155" i="54854"/>
  <c r="E155" i="54854"/>
  <c r="D155" i="54854"/>
  <c r="B156" i="54856"/>
  <c r="D156" i="54854"/>
  <c r="B157" i="54854"/>
  <c r="F156" i="54854"/>
  <c r="C156" i="54854"/>
  <c r="G156" i="54854"/>
  <c r="E156" i="54854"/>
  <c r="H156" i="54854"/>
  <c r="B157" i="54856"/>
  <c r="B158" i="54856"/>
  <c r="D157" i="54854"/>
  <c r="C157" i="54854"/>
  <c r="H157" i="54854"/>
  <c r="E157" i="54854"/>
  <c r="G157" i="54854"/>
  <c r="B158" i="54854"/>
  <c r="F157" i="54854"/>
  <c r="E158" i="54854"/>
  <c r="B159" i="54854"/>
  <c r="C158" i="54854"/>
  <c r="D158" i="54854"/>
  <c r="G158" i="54854"/>
  <c r="F158" i="54854"/>
  <c r="H158" i="54854"/>
  <c r="B159" i="54856"/>
  <c r="B160" i="54856"/>
  <c r="G159" i="54854"/>
  <c r="D159" i="54854"/>
  <c r="B160" i="54854"/>
  <c r="F159" i="54854"/>
  <c r="H159" i="54854"/>
  <c r="E159" i="54854"/>
  <c r="C159" i="54854"/>
  <c r="B161" i="54856"/>
  <c r="C160" i="54854"/>
  <c r="F160" i="54854"/>
  <c r="G160" i="54854"/>
  <c r="H160" i="54854"/>
  <c r="E160" i="54854"/>
  <c r="D160" i="54854"/>
  <c r="B161" i="54854"/>
  <c r="B162" i="54856"/>
  <c r="E161" i="54854"/>
  <c r="F161" i="54854"/>
  <c r="B162" i="54854"/>
  <c r="D161" i="54854"/>
  <c r="G161" i="54854"/>
  <c r="C161" i="54854"/>
  <c r="H161" i="54854"/>
  <c r="D162" i="54854"/>
  <c r="G162" i="54854"/>
  <c r="F162" i="54854"/>
  <c r="B163" i="54854"/>
  <c r="C162" i="54854"/>
  <c r="E162" i="54854"/>
  <c r="H162" i="54854"/>
  <c r="B163" i="54856"/>
  <c r="B164" i="54856"/>
  <c r="F163" i="54854"/>
  <c r="D163" i="54854"/>
  <c r="B164" i="54854"/>
  <c r="H163" i="54854"/>
  <c r="G163" i="54854"/>
  <c r="E163" i="54854"/>
  <c r="C163" i="54854"/>
  <c r="H164" i="54854"/>
  <c r="G164" i="54854"/>
  <c r="F164" i="54854"/>
  <c r="E164" i="54854"/>
  <c r="D164" i="54854"/>
  <c r="C164" i="54854"/>
  <c r="B165" i="54854"/>
  <c r="B165" i="54856"/>
  <c r="B166" i="54856"/>
  <c r="E165" i="54854"/>
  <c r="C165" i="54854"/>
  <c r="G165" i="54854"/>
  <c r="H165" i="54854"/>
  <c r="B166" i="54854"/>
  <c r="D165" i="54854"/>
  <c r="F165" i="54854"/>
  <c r="B167" i="54854"/>
  <c r="D166" i="54854"/>
  <c r="F166" i="54854"/>
  <c r="E166" i="54854"/>
  <c r="H166" i="54854"/>
  <c r="C166" i="54854"/>
  <c r="G166" i="54854"/>
  <c r="B167" i="54856"/>
  <c r="B168" i="54856"/>
  <c r="E167" i="54854"/>
  <c r="C167" i="54854"/>
  <c r="B168" i="54854"/>
  <c r="H167" i="54854"/>
  <c r="G167" i="54854"/>
  <c r="F167" i="54854"/>
  <c r="D167" i="54854"/>
  <c r="H168" i="54854"/>
  <c r="D168" i="54854"/>
  <c r="F168" i="54854"/>
  <c r="B169" i="54854"/>
  <c r="C168" i="54854"/>
  <c r="G168" i="54854"/>
  <c r="E168" i="54854"/>
  <c r="B169" i="54856"/>
  <c r="B170" i="54856"/>
  <c r="E169" i="54854"/>
  <c r="D169" i="54854"/>
  <c r="F169" i="54854"/>
  <c r="C169" i="54854"/>
  <c r="H169" i="54854"/>
  <c r="G169" i="54854"/>
  <c r="B170" i="54854"/>
  <c r="G170" i="54854"/>
  <c r="B171" i="54854"/>
  <c r="F170" i="54854"/>
  <c r="D170" i="54854"/>
  <c r="H170" i="54854"/>
  <c r="C170" i="54854"/>
  <c r="E170" i="54854"/>
  <c r="B171" i="54856"/>
  <c r="B172" i="54856"/>
  <c r="D171" i="54854"/>
  <c r="E171" i="54854"/>
  <c r="G171" i="54854"/>
  <c r="C171" i="54854"/>
  <c r="F171" i="54854"/>
  <c r="B172" i="54854"/>
  <c r="H171" i="54854"/>
  <c r="C172" i="54854"/>
  <c r="G172" i="54854"/>
  <c r="H172" i="54854"/>
  <c r="E172" i="54854"/>
  <c r="F172" i="54854"/>
  <c r="D172" i="54854"/>
  <c r="B173" i="54854"/>
  <c r="B173" i="54856"/>
  <c r="G173" i="54854"/>
  <c r="B174" i="54854"/>
  <c r="D173" i="54854"/>
  <c r="C173" i="54854"/>
  <c r="E173" i="54854"/>
  <c r="H173" i="54854"/>
  <c r="F173" i="54854"/>
  <c r="B174" i="54856"/>
  <c r="B175" i="54856"/>
  <c r="G174" i="54854"/>
  <c r="B175" i="54854"/>
  <c r="F174" i="54854"/>
  <c r="C174" i="54854"/>
  <c r="H174" i="54854"/>
  <c r="D174" i="54854"/>
  <c r="E174" i="54854"/>
  <c r="C175" i="54854"/>
  <c r="F175" i="54854"/>
  <c r="B176" i="54854"/>
  <c r="E175" i="54854"/>
  <c r="G175" i="54854"/>
  <c r="H175" i="54854"/>
  <c r="D175" i="54854"/>
  <c r="B176" i="54856"/>
  <c r="B177" i="54856"/>
  <c r="C176" i="54854"/>
  <c r="B177" i="54854"/>
  <c r="E176" i="54854"/>
  <c r="D176" i="54854"/>
  <c r="F176" i="54854"/>
  <c r="G176" i="54854"/>
  <c r="H176" i="54854"/>
  <c r="C177" i="54854"/>
  <c r="B178" i="54854"/>
  <c r="G177" i="54854"/>
  <c r="D177" i="54854"/>
  <c r="F177" i="54854"/>
  <c r="E177" i="54854"/>
  <c r="H177" i="54854"/>
  <c r="B178" i="54856"/>
  <c r="G178" i="54854"/>
  <c r="H178" i="54854"/>
  <c r="C178" i="54854"/>
  <c r="D178" i="54854"/>
  <c r="E178" i="54854"/>
  <c r="F178" i="54854"/>
  <c r="B179" i="54854"/>
  <c r="B179" i="54856"/>
  <c r="B180" i="54856"/>
  <c r="B180" i="54854"/>
  <c r="F179" i="54854"/>
  <c r="G179" i="54854"/>
  <c r="D179" i="54854"/>
  <c r="H179" i="54854"/>
  <c r="C179" i="54854"/>
  <c r="E179" i="54854"/>
  <c r="B181" i="54856"/>
  <c r="E180" i="54854"/>
  <c r="F180" i="54854"/>
  <c r="D180" i="54854"/>
  <c r="B181" i="54854"/>
  <c r="G180" i="54854"/>
  <c r="C180" i="54854"/>
  <c r="H180" i="54854"/>
  <c r="B182" i="54856"/>
  <c r="H181" i="54854"/>
  <c r="G181" i="54854"/>
  <c r="E181" i="54854"/>
  <c r="F181" i="54854"/>
  <c r="C181" i="54854"/>
  <c r="B182" i="54854"/>
  <c r="D181" i="54854"/>
  <c r="D182" i="54854"/>
  <c r="H182" i="54854"/>
  <c r="E182" i="54854"/>
  <c r="G182" i="54854"/>
  <c r="C182" i="54854"/>
  <c r="B183" i="54854"/>
  <c r="F182" i="54854"/>
  <c r="B183" i="54856"/>
  <c r="B184" i="54856"/>
  <c r="C183" i="54854"/>
  <c r="H183" i="54854"/>
  <c r="B184" i="54854"/>
  <c r="E183" i="54854"/>
  <c r="D183" i="54854"/>
  <c r="F183" i="54854"/>
  <c r="G183" i="54854"/>
  <c r="D184" i="54854"/>
  <c r="F184" i="54854"/>
  <c r="H184" i="54854"/>
  <c r="B185" i="54854"/>
  <c r="C184" i="54854"/>
  <c r="G184" i="54854"/>
  <c r="E184" i="54854"/>
  <c r="B185" i="54856"/>
  <c r="B186" i="54856"/>
  <c r="B186" i="54854"/>
  <c r="D185" i="54854"/>
  <c r="H185" i="54854"/>
  <c r="F185" i="54854"/>
  <c r="E185" i="54854"/>
  <c r="G185" i="54854"/>
  <c r="C185" i="54854"/>
  <c r="B187" i="54854"/>
  <c r="E186" i="54854"/>
  <c r="G186" i="54854"/>
  <c r="F186" i="54854"/>
  <c r="D186" i="54854"/>
  <c r="C186" i="54854"/>
  <c r="H186" i="54854"/>
  <c r="B187" i="54856"/>
  <c r="B188" i="54856"/>
  <c r="B188" i="54854"/>
  <c r="G187" i="54854"/>
  <c r="E187" i="54854"/>
  <c r="C187" i="54854"/>
  <c r="F187" i="54854"/>
  <c r="H187" i="54854"/>
  <c r="D187" i="54854"/>
  <c r="F188" i="54854"/>
  <c r="G188" i="54854"/>
  <c r="B189" i="54854"/>
  <c r="D188" i="54854"/>
  <c r="H188" i="54854"/>
  <c r="C188" i="54854"/>
  <c r="E188" i="54854"/>
  <c r="B189" i="54856"/>
  <c r="G189" i="54854"/>
  <c r="H189" i="54854"/>
  <c r="C189" i="54854"/>
  <c r="B190" i="54854"/>
  <c r="D189" i="54854"/>
  <c r="F189" i="54854"/>
  <c r="E189" i="54854"/>
  <c r="B190" i="54856"/>
  <c r="B191" i="54856"/>
  <c r="F190" i="54854"/>
  <c r="H190" i="54854"/>
  <c r="B191" i="54854"/>
  <c r="G190" i="54854"/>
  <c r="D190" i="54854"/>
  <c r="C190" i="54854"/>
  <c r="E190" i="54854"/>
  <c r="B192" i="54854"/>
  <c r="F191" i="54854"/>
  <c r="H191" i="54854"/>
  <c r="G191" i="54854"/>
  <c r="D191" i="54854"/>
  <c r="E191" i="54854"/>
  <c r="C191" i="54854"/>
  <c r="B192" i="54856"/>
  <c r="B193" i="54856"/>
  <c r="D192" i="54854"/>
  <c r="E192" i="54854"/>
  <c r="B193" i="54854"/>
  <c r="C192" i="54854"/>
  <c r="H192" i="54854"/>
  <c r="F192" i="54854"/>
  <c r="G192" i="54854"/>
  <c r="E193" i="54854"/>
  <c r="B194" i="54854"/>
  <c r="H193" i="54854"/>
  <c r="F193" i="54854"/>
  <c r="D193" i="54854"/>
  <c r="G193" i="54854"/>
  <c r="C193" i="54854"/>
  <c r="B194" i="54856"/>
  <c r="B195" i="54854"/>
  <c r="F194" i="54854"/>
  <c r="D194" i="54854"/>
  <c r="E194" i="54854"/>
  <c r="H194" i="54854"/>
  <c r="G194" i="54854"/>
  <c r="C194" i="54854"/>
  <c r="B195" i="54856"/>
  <c r="G195" i="54854"/>
  <c r="D195" i="54854"/>
  <c r="E195" i="54854"/>
  <c r="F195" i="54854"/>
  <c r="C195" i="54854"/>
  <c r="B196" i="54854"/>
  <c r="H195" i="54854"/>
  <c r="B196" i="54856"/>
  <c r="B197" i="54856"/>
  <c r="G196" i="54854"/>
  <c r="H196" i="54854"/>
  <c r="F196" i="54854"/>
  <c r="D196" i="54854"/>
  <c r="C196" i="54854"/>
  <c r="E196" i="54854"/>
  <c r="B197" i="54854"/>
  <c r="E197" i="54854"/>
  <c r="H197" i="54854"/>
  <c r="B198" i="54854"/>
  <c r="C197" i="54854"/>
  <c r="F197" i="54854"/>
  <c r="D197" i="54854"/>
  <c r="G197" i="54854"/>
  <c r="B198" i="54856"/>
  <c r="D198" i="54854"/>
  <c r="G198" i="54854"/>
  <c r="F198" i="54854"/>
  <c r="E198" i="54854"/>
  <c r="H198" i="54854"/>
  <c r="B199" i="54854"/>
  <c r="C198" i="54854"/>
  <c r="B199" i="54856"/>
  <c r="F199" i="54854"/>
  <c r="D199" i="54854"/>
  <c r="G199" i="54854"/>
  <c r="E199" i="54854"/>
  <c r="C199" i="54854"/>
  <c r="B200" i="54854"/>
  <c r="H199" i="54854"/>
  <c r="B200" i="54856"/>
  <c r="H200" i="54854"/>
  <c r="G200" i="54854"/>
  <c r="B201" i="54854"/>
  <c r="E200" i="54854"/>
  <c r="D200" i="54854"/>
  <c r="F200" i="54854"/>
  <c r="C200" i="54854"/>
  <c r="B201" i="54856"/>
  <c r="B202" i="54856"/>
  <c r="B202" i="54854"/>
  <c r="H201" i="54854"/>
  <c r="C201" i="54854"/>
  <c r="F201" i="54854"/>
  <c r="E201" i="54854"/>
  <c r="G201" i="54854"/>
  <c r="D201" i="54854"/>
  <c r="B203" i="54856"/>
  <c r="E202" i="54854"/>
  <c r="B203" i="54854"/>
  <c r="C202" i="54854"/>
  <c r="D202" i="54854"/>
  <c r="H202" i="54854"/>
  <c r="F202" i="54854"/>
  <c r="G202" i="54854"/>
  <c r="C203" i="54854"/>
  <c r="B204" i="54854"/>
  <c r="E203" i="54854"/>
  <c r="H203" i="54854"/>
  <c r="D203" i="54854"/>
  <c r="G203" i="54854"/>
  <c r="F203" i="54854"/>
  <c r="B204" i="54856"/>
  <c r="B205" i="54854"/>
  <c r="H204" i="54854"/>
  <c r="E204" i="54854"/>
  <c r="G204" i="54854"/>
  <c r="F204" i="54854"/>
  <c r="D204" i="54854"/>
  <c r="C204" i="54854"/>
  <c r="B205" i="54856"/>
  <c r="B206" i="54856"/>
  <c r="B206" i="54854"/>
  <c r="E205" i="54854"/>
  <c r="G205" i="54854"/>
  <c r="D205" i="54854"/>
  <c r="H205" i="54854"/>
  <c r="C205" i="54854"/>
  <c r="F205" i="54854"/>
  <c r="H206" i="54854"/>
  <c r="F206" i="54854"/>
  <c r="B207" i="54854"/>
  <c r="E206" i="54854"/>
  <c r="D206" i="54854"/>
  <c r="C206" i="54854"/>
  <c r="G206" i="54854"/>
  <c r="B207" i="54856"/>
  <c r="B208" i="54856"/>
  <c r="B208" i="54854"/>
  <c r="F207" i="54854"/>
  <c r="E207" i="54854"/>
  <c r="C207" i="54854"/>
  <c r="G207" i="54854"/>
  <c r="D207" i="54854"/>
  <c r="H207" i="54854"/>
  <c r="B209" i="54856"/>
  <c r="H208" i="54854"/>
  <c r="G208" i="54854"/>
  <c r="C208" i="54854"/>
  <c r="D208" i="54854"/>
  <c r="F208" i="54854"/>
  <c r="B209" i="54854"/>
  <c r="E208" i="54854"/>
  <c r="D209" i="54854"/>
  <c r="F209" i="54854"/>
  <c r="H209" i="54854"/>
  <c r="B210" i="54854"/>
  <c r="G209" i="54854"/>
  <c r="C209" i="54854"/>
  <c r="E209" i="54854"/>
  <c r="B210" i="54856"/>
  <c r="B211" i="54856"/>
  <c r="C210" i="54854"/>
  <c r="G210" i="54854"/>
  <c r="B211" i="54854"/>
  <c r="F210" i="54854"/>
  <c r="H210" i="54854"/>
  <c r="E210" i="54854"/>
  <c r="D210" i="54854"/>
  <c r="D211" i="54854"/>
  <c r="B212" i="54854"/>
  <c r="C211" i="54854"/>
  <c r="G211" i="54854"/>
  <c r="H211" i="54854"/>
  <c r="F211" i="54854"/>
  <c r="E211" i="54854"/>
  <c r="B212" i="54856"/>
  <c r="B213" i="54856"/>
  <c r="E212" i="54854"/>
  <c r="G212" i="54854"/>
  <c r="B213" i="54854"/>
  <c r="F212" i="54854"/>
  <c r="C212" i="54854"/>
  <c r="H212" i="54854"/>
  <c r="D212" i="54854"/>
  <c r="B214" i="54856"/>
  <c r="F213" i="54854"/>
  <c r="B214" i="54854"/>
  <c r="G213" i="54854"/>
  <c r="H213" i="54854"/>
  <c r="E213" i="54854"/>
  <c r="D213" i="54854"/>
  <c r="C213" i="54854"/>
  <c r="F214" i="54854"/>
  <c r="C214" i="54854"/>
  <c r="E214" i="54854"/>
  <c r="H214" i="54854"/>
  <c r="G214" i="54854"/>
  <c r="B215" i="54854"/>
  <c r="D214" i="54854"/>
  <c r="B215" i="54856"/>
  <c r="B216" i="54856"/>
  <c r="F215" i="54854"/>
  <c r="G215" i="54854"/>
  <c r="H215" i="54854"/>
  <c r="C215" i="54854"/>
  <c r="B216" i="54854"/>
  <c r="E215" i="54854"/>
  <c r="D215" i="54854"/>
  <c r="C216" i="54854"/>
  <c r="B217" i="54854"/>
  <c r="D216" i="54854"/>
  <c r="G216" i="54854"/>
  <c r="E216" i="54854"/>
  <c r="F216" i="54854"/>
  <c r="H216" i="54854"/>
  <c r="B217" i="54856"/>
  <c r="C217" i="54854"/>
  <c r="F217" i="54854"/>
  <c r="G217" i="54854"/>
  <c r="B218" i="54854"/>
  <c r="H217" i="54854"/>
  <c r="D217" i="54854"/>
  <c r="E217" i="54854"/>
  <c r="B218" i="54856"/>
  <c r="B219" i="54856"/>
  <c r="H218" i="54854"/>
  <c r="G218" i="54854"/>
  <c r="E218" i="54854"/>
  <c r="F218" i="54854"/>
  <c r="C218" i="54854"/>
  <c r="B219" i="54854"/>
  <c r="D218" i="54854"/>
  <c r="B220" i="54856"/>
  <c r="C219" i="54854"/>
  <c r="E219" i="54854"/>
  <c r="H219" i="54854"/>
  <c r="D219" i="54854"/>
  <c r="G219" i="54854"/>
  <c r="F219" i="54854"/>
  <c r="B220" i="54854"/>
  <c r="C220" i="54854"/>
  <c r="B221" i="54854"/>
  <c r="D220" i="54854"/>
  <c r="E220" i="54854"/>
  <c r="G220" i="54854"/>
  <c r="H220" i="54854"/>
  <c r="F220" i="54854"/>
  <c r="B221" i="54856"/>
  <c r="C221" i="54854"/>
  <c r="G221" i="54854"/>
  <c r="E221" i="54854"/>
  <c r="D221" i="54854"/>
  <c r="H221" i="54854"/>
  <c r="B222" i="54854"/>
  <c r="F221" i="54854"/>
  <c r="B222" i="54856"/>
  <c r="H222" i="54854"/>
  <c r="C222" i="54854"/>
  <c r="F222" i="54854"/>
  <c r="E222" i="54854"/>
  <c r="G222" i="54854"/>
  <c r="B223" i="54854"/>
  <c r="D222" i="54854"/>
  <c r="B223" i="54856"/>
  <c r="B224" i="54856"/>
  <c r="E223" i="54854"/>
  <c r="C223" i="54854"/>
  <c r="G223" i="54854"/>
  <c r="F223" i="54854"/>
  <c r="D223" i="54854"/>
  <c r="B224" i="54854"/>
  <c r="H223" i="54854"/>
  <c r="C224" i="54854"/>
  <c r="B225" i="54854"/>
  <c r="H224" i="54854"/>
  <c r="D224" i="54854"/>
  <c r="E224" i="54854"/>
  <c r="F224" i="54854"/>
  <c r="G224" i="54854"/>
  <c r="B225" i="54856"/>
  <c r="B226" i="54856"/>
  <c r="E225" i="54854"/>
  <c r="B226" i="54854"/>
  <c r="D225" i="54854"/>
  <c r="H225" i="54854"/>
  <c r="F225" i="54854"/>
  <c r="G225" i="54854"/>
  <c r="C225" i="54854"/>
  <c r="E226" i="54854"/>
  <c r="G226" i="54854"/>
  <c r="C226" i="54854"/>
  <c r="H226" i="54854"/>
  <c r="D226" i="54854"/>
  <c r="B227" i="54854"/>
  <c r="F226" i="54854"/>
  <c r="B227" i="54856"/>
  <c r="B228" i="54856"/>
  <c r="B228" i="54854"/>
  <c r="E227" i="54854"/>
  <c r="H227" i="54854"/>
  <c r="C227" i="54854"/>
  <c r="G227" i="54854"/>
  <c r="D227" i="54854"/>
  <c r="F227" i="54854"/>
  <c r="G228" i="54854"/>
  <c r="C228" i="54854"/>
  <c r="H228" i="54854"/>
  <c r="E228" i="54854"/>
  <c r="B229" i="54854"/>
  <c r="D228" i="54854"/>
  <c r="F228" i="54854"/>
  <c r="B229" i="54856"/>
  <c r="B230" i="54856"/>
  <c r="G229" i="54854"/>
  <c r="C229" i="54854"/>
  <c r="D229" i="54854"/>
  <c r="H229" i="54854"/>
  <c r="B230" i="54854"/>
  <c r="E229" i="54854"/>
  <c r="F229" i="54854"/>
  <c r="F230" i="54854"/>
  <c r="E230" i="54854"/>
  <c r="B231" i="54854"/>
  <c r="G230" i="54854"/>
  <c r="H230" i="54854"/>
  <c r="C230" i="54854"/>
  <c r="D230" i="54854"/>
  <c r="B231" i="54856"/>
  <c r="B232" i="54856"/>
  <c r="F231" i="54854"/>
  <c r="E231" i="54854"/>
  <c r="B232" i="54854"/>
  <c r="G231" i="54854"/>
  <c r="H231" i="54854"/>
  <c r="C231" i="54854"/>
  <c r="D231" i="54854"/>
  <c r="C232" i="54854"/>
  <c r="H232" i="54854"/>
  <c r="E232" i="54854"/>
  <c r="B233" i="54854"/>
  <c r="F232" i="54854"/>
  <c r="D232" i="54854"/>
  <c r="G232" i="54854"/>
  <c r="B233" i="54856"/>
  <c r="H233" i="54854"/>
  <c r="C233" i="54854"/>
  <c r="G233" i="54854"/>
  <c r="B234" i="54854"/>
  <c r="F233" i="54854"/>
  <c r="E233" i="54854"/>
  <c r="D233" i="54854"/>
  <c r="B234" i="54856"/>
  <c r="B235" i="54856"/>
  <c r="F234" i="54854"/>
  <c r="G234" i="54854"/>
  <c r="E234" i="54854"/>
  <c r="D234" i="54854"/>
  <c r="B235" i="54854"/>
  <c r="C234" i="54854"/>
  <c r="H234" i="54854"/>
  <c r="B236" i="54856"/>
  <c r="B236" i="54854"/>
  <c r="G235" i="54854"/>
  <c r="C235" i="54854"/>
  <c r="D235" i="54854"/>
  <c r="F235" i="54854"/>
  <c r="H235" i="54854"/>
  <c r="E235" i="54854"/>
  <c r="B237" i="54856"/>
  <c r="E236" i="54854"/>
  <c r="F236" i="54854"/>
  <c r="H236" i="54854"/>
  <c r="D236" i="54854"/>
  <c r="B237" i="54854"/>
  <c r="C236" i="54854"/>
  <c r="G236" i="54854"/>
  <c r="H237" i="54854"/>
  <c r="F237" i="54854"/>
  <c r="C237" i="54854"/>
  <c r="E237" i="54854"/>
  <c r="D237" i="54854"/>
  <c r="B238" i="54854"/>
  <c r="G237" i="54854"/>
  <c r="B238" i="54856"/>
  <c r="D238" i="54854"/>
  <c r="C238" i="54854"/>
  <c r="E238" i="54854"/>
  <c r="B239" i="54854"/>
  <c r="H238" i="54854"/>
  <c r="F238" i="54854"/>
  <c r="G238" i="54854"/>
  <c r="B239" i="54856"/>
  <c r="B240" i="54856"/>
  <c r="E239" i="54854"/>
  <c r="C239" i="54854"/>
  <c r="F239" i="54854"/>
  <c r="G239" i="54854"/>
  <c r="H239" i="54854"/>
  <c r="D239" i="54854"/>
  <c r="B240" i="54854"/>
  <c r="B241" i="54854"/>
  <c r="H240" i="54854"/>
  <c r="C240" i="54854"/>
  <c r="G240" i="54854"/>
  <c r="E240" i="54854"/>
  <c r="F240" i="54854"/>
  <c r="D240" i="54854"/>
  <c r="B241" i="54856"/>
  <c r="B242" i="54856"/>
  <c r="D241" i="54854"/>
  <c r="F241" i="54854"/>
  <c r="G241" i="54854"/>
  <c r="C241" i="54854"/>
  <c r="H241" i="54854"/>
  <c r="E241" i="54854"/>
  <c r="B242" i="54854"/>
  <c r="D242" i="54854"/>
  <c r="G242" i="54854"/>
  <c r="H242" i="54854"/>
  <c r="E242" i="54854"/>
  <c r="F242" i="54854"/>
  <c r="B243" i="54854"/>
  <c r="C242" i="54854"/>
  <c r="B243" i="54856"/>
  <c r="F243" i="54854"/>
  <c r="B244" i="54854"/>
  <c r="E243" i="54854"/>
  <c r="G243" i="54854"/>
  <c r="D243" i="54854"/>
  <c r="H243" i="54854"/>
  <c r="C243" i="54854"/>
  <c r="B244" i="54856"/>
  <c r="B245" i="54856"/>
  <c r="E244" i="54854"/>
  <c r="G244" i="54854"/>
  <c r="F244" i="54854"/>
  <c r="H244" i="54854"/>
  <c r="D244" i="54854"/>
  <c r="B245" i="54854"/>
  <c r="C244" i="54854"/>
  <c r="F245" i="54854"/>
  <c r="B246" i="54854"/>
  <c r="G245" i="54854"/>
  <c r="D245" i="54854"/>
  <c r="C245" i="54854"/>
  <c r="E245" i="54854"/>
  <c r="H245" i="54854"/>
  <c r="B246" i="54856"/>
  <c r="B247" i="54856"/>
  <c r="C246" i="54854"/>
  <c r="F246" i="54854"/>
  <c r="E246" i="54854"/>
  <c r="H246" i="54854"/>
  <c r="G246" i="54854"/>
  <c r="D246" i="54854"/>
  <c r="B247" i="54854"/>
  <c r="D247" i="54854"/>
  <c r="F247" i="54854"/>
  <c r="H247" i="54854"/>
  <c r="G247" i="54854"/>
  <c r="E247" i="54854"/>
  <c r="B248" i="54854"/>
  <c r="C247" i="54854"/>
  <c r="B248" i="54856"/>
  <c r="E248" i="54854"/>
  <c r="F248" i="54854"/>
  <c r="B249" i="54854"/>
  <c r="D248" i="54854"/>
  <c r="H248" i="54854"/>
  <c r="G248" i="54854"/>
  <c r="C248" i="54854"/>
  <c r="B249" i="54856"/>
  <c r="B250" i="54856"/>
  <c r="E249" i="54854"/>
  <c r="D249" i="54854"/>
  <c r="H249" i="54854"/>
  <c r="G249" i="54854"/>
  <c r="C249" i="54854"/>
  <c r="B250" i="54854"/>
  <c r="F249" i="54854"/>
  <c r="C250" i="54854"/>
  <c r="D250" i="54854"/>
  <c r="B251" i="54854"/>
  <c r="G250" i="54854"/>
  <c r="H250" i="54854"/>
  <c r="F250" i="54854"/>
  <c r="E250" i="54854"/>
  <c r="B251" i="54856"/>
  <c r="G251" i="54854"/>
  <c r="D251" i="54854"/>
  <c r="F251" i="54854"/>
  <c r="C251" i="54854"/>
  <c r="E251" i="54854"/>
  <c r="B252" i="54854"/>
  <c r="H251" i="54854"/>
  <c r="B252" i="54856"/>
  <c r="B253" i="54856"/>
  <c r="E252" i="54854"/>
  <c r="D252" i="54854"/>
  <c r="F252" i="54854"/>
  <c r="G252" i="54854"/>
  <c r="H252" i="54854"/>
  <c r="B253" i="54854"/>
  <c r="C252" i="54854"/>
  <c r="E253" i="54854"/>
  <c r="H253" i="54854"/>
  <c r="D253" i="54854"/>
  <c r="B254" i="54854"/>
  <c r="C253" i="54854"/>
  <c r="G253" i="54854"/>
  <c r="F253" i="54854"/>
  <c r="B254" i="54856"/>
  <c r="B255" i="54856"/>
  <c r="E254" i="54854"/>
  <c r="D254" i="54854"/>
  <c r="H254" i="54854"/>
  <c r="G254" i="54854"/>
  <c r="F254" i="54854"/>
  <c r="C254" i="54854"/>
  <c r="B255" i="54854"/>
  <c r="E255" i="54854"/>
  <c r="D255" i="54854"/>
  <c r="C255" i="54854"/>
  <c r="B256" i="54854"/>
  <c r="G255" i="54854"/>
  <c r="H255" i="54854"/>
  <c r="F255" i="54854"/>
  <c r="B256" i="54856"/>
  <c r="F256" i="54854"/>
  <c r="C256" i="54854"/>
  <c r="E256" i="54854"/>
  <c r="G256" i="54854"/>
  <c r="D256" i="54854"/>
  <c r="B257" i="54854"/>
  <c r="H256" i="54854"/>
  <c r="B257" i="54856"/>
  <c r="B258" i="54856"/>
  <c r="H257" i="54854"/>
  <c r="E257" i="54854"/>
  <c r="B258" i="54854"/>
  <c r="C257" i="54854"/>
  <c r="F257" i="54854"/>
  <c r="G257" i="54854"/>
  <c r="D257" i="54854"/>
  <c r="B259" i="54856"/>
  <c r="E258" i="54854"/>
  <c r="D258" i="54854"/>
  <c r="H258" i="54854"/>
  <c r="C258" i="54854"/>
  <c r="G258" i="54854"/>
  <c r="F258" i="54854"/>
  <c r="B259" i="54854"/>
  <c r="B260" i="54856"/>
  <c r="F259" i="54854"/>
  <c r="C259" i="54854"/>
  <c r="D259" i="54854"/>
  <c r="E259" i="54854"/>
  <c r="B260" i="54854"/>
  <c r="G259" i="54854"/>
  <c r="H259" i="54854"/>
  <c r="F260" i="54854"/>
  <c r="D260" i="54854"/>
  <c r="C260" i="54854"/>
  <c r="B261" i="54854"/>
  <c r="E260" i="54854"/>
  <c r="H260" i="54854"/>
  <c r="G260" i="54854"/>
  <c r="B261" i="54856"/>
  <c r="B262" i="54856"/>
  <c r="C261" i="54854"/>
  <c r="D261" i="54854"/>
  <c r="F261" i="54854"/>
  <c r="B262" i="54854"/>
  <c r="H261" i="54854"/>
  <c r="G261" i="54854"/>
  <c r="E261" i="54854"/>
  <c r="E262" i="54854"/>
  <c r="B263" i="54854"/>
  <c r="D262" i="54854"/>
  <c r="G262" i="54854"/>
  <c r="C262" i="54854"/>
  <c r="H262" i="54854"/>
  <c r="F262" i="54854"/>
  <c r="B263" i="54856"/>
  <c r="B264" i="54856"/>
  <c r="H263" i="54854"/>
  <c r="G263" i="54854"/>
  <c r="C263" i="54854"/>
  <c r="E263" i="54854"/>
  <c r="B264" i="54854"/>
  <c r="F263" i="54854"/>
  <c r="D263" i="54854"/>
  <c r="E264" i="54854"/>
  <c r="G264" i="54854"/>
  <c r="D264" i="54854"/>
  <c r="H264" i="54854"/>
  <c r="C264" i="54854"/>
  <c r="F264" i="54854"/>
  <c r="B265" i="54854"/>
  <c r="B265" i="54856"/>
  <c r="B266" i="54856"/>
  <c r="G265" i="54854"/>
  <c r="B266" i="54854"/>
  <c r="E265" i="54854"/>
  <c r="D265" i="54854"/>
  <c r="F265" i="54854"/>
  <c r="H265" i="54854"/>
  <c r="C265" i="54854"/>
  <c r="B267" i="54856"/>
  <c r="G266" i="54854"/>
  <c r="D266" i="54854"/>
  <c r="C266" i="54854"/>
  <c r="E266" i="54854"/>
  <c r="H266" i="54854"/>
  <c r="F266" i="54854"/>
  <c r="B267" i="54854"/>
  <c r="H267" i="54854"/>
  <c r="C267" i="54854"/>
  <c r="E267" i="54854"/>
  <c r="F267" i="54854"/>
  <c r="B268" i="54854"/>
  <c r="G267" i="54854"/>
  <c r="D267" i="54854"/>
  <c r="B268" i="54856"/>
  <c r="G268" i="54854"/>
  <c r="F268" i="54854"/>
  <c r="E268" i="54854"/>
  <c r="C268" i="54854"/>
  <c r="B269" i="54854"/>
  <c r="D268" i="54854"/>
  <c r="H268" i="54854"/>
  <c r="B269" i="54856"/>
  <c r="B270" i="54856"/>
  <c r="D269" i="54854"/>
  <c r="B270" i="54854"/>
  <c r="F269" i="54854"/>
  <c r="G269" i="54854"/>
  <c r="C269" i="54854"/>
  <c r="H269" i="54854"/>
  <c r="E269" i="54854"/>
  <c r="B271" i="54856"/>
  <c r="H270" i="54854"/>
  <c r="C270" i="54854"/>
  <c r="D270" i="54854"/>
  <c r="G270" i="54854"/>
  <c r="B271" i="54854"/>
  <c r="E270" i="54854"/>
  <c r="F270" i="54854"/>
  <c r="G271" i="54854"/>
  <c r="C271" i="54854"/>
  <c r="F271" i="54854"/>
  <c r="D271" i="54854"/>
  <c r="H271" i="54854"/>
  <c r="E271" i="54854"/>
  <c r="B272" i="54854"/>
  <c r="B272" i="54856"/>
  <c r="G272" i="54854"/>
  <c r="E272" i="54854"/>
  <c r="H272" i="54854"/>
  <c r="C272" i="54854"/>
  <c r="B273" i="54854"/>
  <c r="D272" i="54854"/>
  <c r="F272" i="54854"/>
  <c r="B273" i="54856"/>
  <c r="B274" i="54856"/>
  <c r="G273" i="54854"/>
  <c r="D273" i="54854"/>
  <c r="E273" i="54854"/>
  <c r="B274" i="54854"/>
  <c r="C273" i="54854"/>
  <c r="H273" i="54854"/>
  <c r="F273" i="54854"/>
  <c r="C274" i="54854"/>
  <c r="D274" i="54854"/>
  <c r="G274" i="54854"/>
  <c r="F274" i="54854"/>
  <c r="E274" i="54854"/>
  <c r="H274" i="54854"/>
  <c r="B275" i="54854"/>
  <c r="B275" i="54856"/>
  <c r="G275" i="54854"/>
  <c r="D275" i="54854"/>
  <c r="F275" i="54854"/>
  <c r="C275" i="54854"/>
  <c r="H275" i="54854"/>
  <c r="E275" i="54854"/>
  <c r="B276" i="54854"/>
  <c r="B276" i="54856"/>
  <c r="B277" i="54856"/>
  <c r="G276" i="54854"/>
  <c r="E276" i="54854"/>
  <c r="H276" i="54854"/>
  <c r="C276" i="54854"/>
  <c r="D276" i="54854"/>
  <c r="B277" i="54854"/>
  <c r="F276" i="54854"/>
  <c r="B278" i="54856"/>
  <c r="F277" i="54854"/>
  <c r="H277" i="54854"/>
  <c r="G277" i="54854"/>
  <c r="B278" i="54854"/>
  <c r="E277" i="54854"/>
  <c r="D277" i="54854"/>
  <c r="C277" i="54854"/>
  <c r="B279" i="54856"/>
  <c r="E278" i="54854"/>
  <c r="D278" i="54854"/>
  <c r="F278" i="54854"/>
  <c r="C278" i="54854"/>
  <c r="B279" i="54854"/>
  <c r="H278" i="54854"/>
  <c r="G278" i="54854"/>
  <c r="H279" i="54854"/>
  <c r="E279" i="54854"/>
  <c r="B280" i="54854"/>
  <c r="D279" i="54854"/>
  <c r="C279" i="54854"/>
  <c r="F279" i="54854"/>
  <c r="G279" i="54854"/>
  <c r="B280" i="54856"/>
  <c r="C280" i="54854"/>
  <c r="F280" i="54854"/>
  <c r="H280" i="54854"/>
  <c r="D280" i="54854"/>
  <c r="E280" i="54854"/>
  <c r="G280" i="54854"/>
  <c r="B281" i="54854"/>
  <c r="B281" i="54856"/>
  <c r="G281" i="54854"/>
  <c r="F281" i="54854"/>
  <c r="D281" i="54854"/>
  <c r="H281" i="54854"/>
  <c r="B282" i="54854"/>
  <c r="E281" i="54854"/>
  <c r="C281" i="54854"/>
  <c r="B282" i="54856"/>
  <c r="B283" i="54856"/>
  <c r="H282" i="54854"/>
  <c r="E282" i="54854"/>
  <c r="B283" i="54854"/>
  <c r="G282" i="54854"/>
  <c r="F282" i="54854"/>
  <c r="C282" i="54854"/>
  <c r="D282" i="54854"/>
  <c r="B284" i="54856"/>
  <c r="F283" i="54854"/>
  <c r="E283" i="54854"/>
  <c r="G283" i="54854"/>
  <c r="H283" i="54854"/>
  <c r="B284" i="54854"/>
  <c r="C283" i="54854"/>
  <c r="D283" i="54854"/>
  <c r="B285" i="54856"/>
  <c r="B285" i="54854"/>
  <c r="D284" i="54854"/>
  <c r="F284" i="54854"/>
  <c r="G284" i="54854"/>
  <c r="H284" i="54854"/>
  <c r="E284" i="54854"/>
  <c r="C284" i="54854"/>
  <c r="B286" i="54856"/>
  <c r="C285" i="54854"/>
  <c r="F285" i="54854"/>
  <c r="D285" i="54854"/>
  <c r="H285" i="54854"/>
  <c r="G285" i="54854"/>
  <c r="E285" i="54854"/>
  <c r="B286" i="54854"/>
  <c r="B287" i="54856"/>
  <c r="E286" i="54854"/>
  <c r="B287" i="54854"/>
  <c r="C286" i="54854"/>
  <c r="F286" i="54854"/>
  <c r="H286" i="54854"/>
  <c r="D286" i="54854"/>
  <c r="G286" i="54854"/>
  <c r="F287" i="54854"/>
  <c r="B288" i="54854"/>
  <c r="D287" i="54854"/>
  <c r="G287" i="54854"/>
  <c r="E287" i="54854"/>
  <c r="H287" i="54854"/>
  <c r="C287" i="54854"/>
  <c r="B288" i="54856"/>
  <c r="F288" i="54854"/>
  <c r="D288" i="54854"/>
  <c r="C288" i="54854"/>
  <c r="E288" i="54854"/>
  <c r="B289" i="54854"/>
  <c r="G288" i="54854"/>
  <c r="H288" i="54854"/>
  <c r="B289" i="54856"/>
  <c r="B290" i="54856"/>
  <c r="G289" i="54854"/>
  <c r="E289" i="54854"/>
  <c r="H289" i="54854"/>
  <c r="F289" i="54854"/>
  <c r="B290" i="54854"/>
  <c r="D289" i="54854"/>
  <c r="C289" i="54854"/>
  <c r="B291" i="54856"/>
  <c r="D290" i="54854"/>
  <c r="F290" i="54854"/>
  <c r="H290" i="54854"/>
  <c r="E290" i="54854"/>
  <c r="G290" i="54854"/>
  <c r="B291" i="54854"/>
  <c r="C290" i="54854"/>
  <c r="E291" i="54854"/>
  <c r="F291" i="54854"/>
  <c r="H291" i="54854"/>
  <c r="D291" i="54854"/>
  <c r="B292" i="54854"/>
  <c r="C291" i="54854"/>
  <c r="G291" i="54854"/>
  <c r="B292" i="54856"/>
  <c r="B293" i="54856"/>
  <c r="G292" i="54854"/>
  <c r="D292" i="54854"/>
  <c r="C292" i="54854"/>
  <c r="H292" i="54854"/>
  <c r="E292" i="54854"/>
  <c r="B293" i="54854"/>
  <c r="F292" i="54854"/>
  <c r="H293" i="54854"/>
  <c r="B294" i="54854"/>
  <c r="E293" i="54854"/>
  <c r="G293" i="54854"/>
  <c r="D293" i="54854"/>
  <c r="C293" i="54854"/>
  <c r="F293" i="54854"/>
  <c r="B294" i="54856"/>
  <c r="B295" i="54856"/>
  <c r="H294" i="54854"/>
  <c r="E294" i="54854"/>
  <c r="D294" i="54854"/>
  <c r="B295" i="54854"/>
  <c r="C294" i="54854"/>
  <c r="G294" i="54854"/>
  <c r="F294" i="54854"/>
  <c r="B296" i="54856"/>
  <c r="C295" i="54854"/>
  <c r="H295" i="54854"/>
  <c r="F295" i="54854"/>
  <c r="D295" i="54854"/>
  <c r="B296" i="54854"/>
  <c r="G295" i="54854"/>
  <c r="E295" i="54854"/>
  <c r="G296" i="54854"/>
  <c r="E296" i="54854"/>
  <c r="C296" i="54854"/>
  <c r="B297" i="54854"/>
  <c r="F296" i="54854"/>
  <c r="D296" i="54854"/>
  <c r="H296" i="54854"/>
  <c r="B297" i="54856"/>
  <c r="B298" i="54856"/>
  <c r="G297" i="54854"/>
  <c r="C297" i="54854"/>
  <c r="H297" i="54854"/>
  <c r="E297" i="54854"/>
  <c r="D297" i="54854"/>
  <c r="B298" i="54854"/>
  <c r="F297" i="54854"/>
  <c r="F298" i="54854"/>
  <c r="D298" i="54854"/>
  <c r="E298" i="54854"/>
  <c r="H298" i="54854"/>
  <c r="C298" i="54854"/>
  <c r="G298" i="54854"/>
  <c r="B299" i="54854"/>
  <c r="B299" i="54856"/>
  <c r="B300" i="54856"/>
  <c r="E299" i="54854"/>
  <c r="H299" i="54854"/>
  <c r="F299" i="54854"/>
  <c r="B300" i="54854"/>
  <c r="C299" i="54854"/>
  <c r="G299" i="54854"/>
  <c r="D299" i="54854"/>
  <c r="B301" i="54854"/>
  <c r="D300" i="54854"/>
  <c r="E300" i="54854"/>
  <c r="G300" i="54854"/>
  <c r="H300" i="54854"/>
  <c r="C300" i="54854"/>
  <c r="F300" i="54854"/>
  <c r="B301" i="54856"/>
  <c r="B302" i="54856"/>
  <c r="C301" i="54854"/>
  <c r="G301" i="54854"/>
  <c r="D301" i="54854"/>
  <c r="E301" i="54854"/>
  <c r="H301" i="54854"/>
  <c r="F301" i="54854"/>
  <c r="B302" i="54854"/>
  <c r="H302" i="54854"/>
  <c r="G302" i="54854"/>
  <c r="C302" i="54854"/>
  <c r="E302" i="54854"/>
  <c r="F302" i="54854"/>
  <c r="B303" i="54854"/>
  <c r="D302" i="54854"/>
  <c r="B303" i="54856"/>
  <c r="B304" i="54856"/>
  <c r="D303" i="54854"/>
  <c r="E303" i="54854"/>
  <c r="B304" i="54854"/>
  <c r="H303" i="54854"/>
  <c r="G303" i="54854"/>
  <c r="C303" i="54854"/>
  <c r="F303" i="54854"/>
  <c r="F304" i="54854"/>
  <c r="H304" i="54854"/>
  <c r="D304" i="54854"/>
  <c r="B305" i="54854"/>
  <c r="C304" i="54854"/>
  <c r="G304" i="54854"/>
  <c r="E304" i="54854"/>
  <c r="B305" i="54856"/>
  <c r="B306" i="54856"/>
  <c r="D305" i="54854"/>
  <c r="F305" i="54854"/>
  <c r="H305" i="54854"/>
  <c r="G305" i="54854"/>
  <c r="B306" i="54854"/>
  <c r="C305" i="54854"/>
  <c r="E305" i="54854"/>
  <c r="D306" i="54854"/>
  <c r="H306" i="54854"/>
  <c r="B307" i="54854"/>
  <c r="G306" i="54854"/>
  <c r="E306" i="54854"/>
  <c r="C306" i="54854"/>
  <c r="F306" i="54854"/>
  <c r="B307" i="54856"/>
  <c r="B308" i="54856"/>
  <c r="E307" i="54854"/>
  <c r="G307" i="54854"/>
  <c r="C307" i="54854"/>
  <c r="H307" i="54854"/>
  <c r="D307" i="54854"/>
  <c r="B308" i="54854"/>
  <c r="F307" i="54854"/>
  <c r="H308" i="54854"/>
  <c r="B309" i="54854"/>
  <c r="F308" i="54854"/>
  <c r="G308" i="54854"/>
  <c r="C308" i="54854"/>
  <c r="E308" i="54854"/>
  <c r="D308" i="54854"/>
  <c r="B309" i="54856"/>
  <c r="B310" i="54856"/>
  <c r="E309" i="54854"/>
  <c r="D309" i="54854"/>
  <c r="F309" i="54854"/>
  <c r="B310" i="54854"/>
  <c r="G309" i="54854"/>
  <c r="C309" i="54854"/>
  <c r="H309" i="54854"/>
  <c r="D310" i="54854"/>
  <c r="E310" i="54854"/>
  <c r="B311" i="54854"/>
  <c r="F310" i="54854"/>
  <c r="G310" i="54854"/>
  <c r="H310" i="54854"/>
  <c r="C310" i="54854"/>
  <c r="B311" i="54856"/>
  <c r="B312" i="54854"/>
  <c r="F311" i="54854"/>
  <c r="C311" i="54854"/>
  <c r="G311" i="54854"/>
  <c r="D311" i="54854"/>
  <c r="E311" i="54854"/>
  <c r="H311" i="54854"/>
  <c r="B312" i="54856"/>
  <c r="C312" i="54854"/>
  <c r="E312" i="54854"/>
  <c r="G312" i="54854"/>
  <c r="F312" i="54854"/>
  <c r="D312" i="54854"/>
  <c r="B313" i="54854"/>
  <c r="H312" i="54854"/>
  <c r="B313" i="54856"/>
  <c r="B314" i="54856"/>
  <c r="G313" i="54854"/>
  <c r="E313" i="54854"/>
  <c r="F313" i="54854"/>
  <c r="H313" i="54854"/>
  <c r="B314" i="54854"/>
  <c r="C313" i="54854"/>
  <c r="D313" i="54854"/>
  <c r="B315" i="54856"/>
  <c r="C314" i="54854"/>
  <c r="D314" i="54854"/>
  <c r="H314" i="54854"/>
  <c r="G314" i="54854"/>
  <c r="E314" i="54854"/>
  <c r="F314" i="54854"/>
  <c r="B315" i="54854"/>
  <c r="B316" i="54856"/>
  <c r="G315" i="54854"/>
  <c r="H315" i="54854"/>
  <c r="D315" i="54854"/>
  <c r="E315" i="54854"/>
  <c r="C315" i="54854"/>
  <c r="F315" i="54854"/>
  <c r="B316" i="54854"/>
  <c r="C316" i="54854"/>
  <c r="H316" i="54854"/>
  <c r="D316" i="54854"/>
  <c r="E316" i="54854"/>
  <c r="G316" i="54854"/>
  <c r="B317" i="54854"/>
  <c r="F316" i="54854"/>
  <c r="B317" i="54856"/>
  <c r="F317" i="54854"/>
  <c r="H317" i="54854"/>
  <c r="B318" i="54854"/>
  <c r="C317" i="54854"/>
  <c r="E317" i="54854"/>
  <c r="G317" i="54854"/>
  <c r="D317" i="54854"/>
  <c r="B318" i="54856"/>
  <c r="C318" i="54856"/>
  <c r="G318" i="54856"/>
  <c r="E318" i="54856"/>
  <c r="H318" i="54856"/>
  <c r="F318" i="54856"/>
  <c r="D318" i="54856"/>
  <c r="B319" i="54856"/>
  <c r="G318" i="54854"/>
  <c r="B319" i="54854"/>
  <c r="C318" i="54854"/>
  <c r="D318" i="54854"/>
  <c r="H318" i="54854"/>
  <c r="F318" i="54854"/>
  <c r="E318" i="54854"/>
  <c r="H319" i="54854"/>
  <c r="C319" i="54854"/>
  <c r="B320" i="54854"/>
  <c r="E319" i="54854"/>
  <c r="G319" i="54854"/>
  <c r="F319" i="54854"/>
  <c r="D319" i="54854"/>
  <c r="B320" i="54856"/>
  <c r="F319" i="54856"/>
  <c r="H319" i="54856"/>
  <c r="E319" i="54856"/>
  <c r="D319" i="54856"/>
  <c r="C319" i="54856"/>
  <c r="G319" i="54856"/>
  <c r="B321" i="54854"/>
  <c r="D320" i="54854"/>
  <c r="G320" i="54854"/>
  <c r="E320" i="54854"/>
  <c r="F320" i="54854"/>
  <c r="C320" i="54854"/>
  <c r="H320" i="54854"/>
  <c r="H320" i="54856"/>
  <c r="F320" i="54856"/>
  <c r="E320" i="54856"/>
  <c r="G320" i="54856"/>
  <c r="B321" i="54856"/>
  <c r="C320" i="54856"/>
  <c r="D320" i="54856"/>
  <c r="H321" i="54854"/>
  <c r="E321" i="54854"/>
  <c r="B322" i="54854"/>
  <c r="F321" i="54854"/>
  <c r="C321" i="54854"/>
  <c r="D321" i="54854"/>
  <c r="G321" i="54854"/>
  <c r="C321" i="54856"/>
  <c r="E321" i="54856"/>
  <c r="B322" i="54856"/>
  <c r="D321" i="54856"/>
  <c r="H321" i="54856"/>
  <c r="F321" i="54856"/>
  <c r="G321" i="54856"/>
  <c r="F322" i="54856"/>
  <c r="C322" i="54856"/>
  <c r="H322" i="54856"/>
  <c r="D322" i="54856"/>
  <c r="G322" i="54856"/>
  <c r="B323" i="54856"/>
  <c r="E322" i="54856"/>
  <c r="F322" i="54854"/>
  <c r="G322" i="54854"/>
  <c r="B323" i="54854"/>
  <c r="H322" i="54854"/>
  <c r="E322" i="54854"/>
  <c r="C322" i="54854"/>
  <c r="D322" i="54854"/>
  <c r="F323" i="54856"/>
  <c r="B324" i="54856"/>
  <c r="H323" i="54856"/>
  <c r="G323" i="54856"/>
  <c r="E323" i="54856"/>
  <c r="C323" i="54856"/>
  <c r="D323" i="54856"/>
  <c r="F323" i="54854"/>
  <c r="C323" i="54854"/>
  <c r="E323" i="54854"/>
  <c r="G323" i="54854"/>
  <c r="D323" i="54854"/>
  <c r="B324" i="54854"/>
  <c r="H323" i="54854"/>
  <c r="H324" i="54854"/>
  <c r="D324" i="54854"/>
  <c r="F324" i="54854"/>
  <c r="B325" i="54854"/>
  <c r="C324" i="54854"/>
  <c r="E324" i="54854"/>
  <c r="G324" i="54854"/>
  <c r="F324" i="54856"/>
  <c r="H324" i="54856"/>
  <c r="B325" i="54856"/>
  <c r="C324" i="54856"/>
  <c r="E324" i="54856"/>
  <c r="D324" i="54856"/>
  <c r="G324" i="54856"/>
  <c r="F325" i="54854"/>
  <c r="H325" i="54854"/>
  <c r="E325" i="54854"/>
  <c r="D325" i="54854"/>
  <c r="B326" i="54854"/>
  <c r="G325" i="54854"/>
  <c r="C325" i="54854"/>
  <c r="C325" i="54856"/>
  <c r="E325" i="54856"/>
  <c r="B326" i="54856"/>
  <c r="H325" i="54856"/>
  <c r="G325" i="54856"/>
  <c r="D325" i="54856"/>
  <c r="F325" i="54856"/>
  <c r="E326" i="54856"/>
  <c r="G326" i="54856"/>
  <c r="C326" i="54856"/>
  <c r="F326" i="54856"/>
  <c r="B327" i="54856"/>
  <c r="H326" i="54856"/>
  <c r="D326" i="54856"/>
  <c r="H326" i="54854"/>
  <c r="E326" i="54854"/>
  <c r="C326" i="54854"/>
  <c r="G326" i="54854"/>
  <c r="D326" i="54854"/>
  <c r="B327" i="54854"/>
  <c r="F326" i="54854"/>
  <c r="E327" i="54854"/>
  <c r="D327" i="54854"/>
  <c r="B328" i="54854"/>
  <c r="H327" i="54854"/>
  <c r="C327" i="54854"/>
  <c r="G327" i="54854"/>
  <c r="F327" i="54854"/>
  <c r="G327" i="54856"/>
  <c r="B328" i="54856"/>
  <c r="H327" i="54856"/>
  <c r="D327" i="54856"/>
  <c r="E327" i="54856"/>
  <c r="C327" i="54856"/>
  <c r="F327" i="54856"/>
  <c r="H328" i="54854"/>
  <c r="C328" i="54854"/>
  <c r="D328" i="54854"/>
  <c r="E328" i="54854"/>
  <c r="G328" i="54854"/>
  <c r="B329" i="54854"/>
  <c r="F328" i="54854"/>
  <c r="G328" i="54856"/>
  <c r="B329" i="54856"/>
  <c r="E328" i="54856"/>
  <c r="F328" i="54856"/>
  <c r="C328" i="54856"/>
  <c r="H328" i="54856"/>
  <c r="D328" i="54856"/>
  <c r="E329" i="54854"/>
  <c r="G329" i="54854"/>
  <c r="D329" i="54854"/>
  <c r="F329" i="54854"/>
  <c r="B330" i="54854"/>
  <c r="H329" i="54854"/>
  <c r="C329" i="54854"/>
  <c r="D329" i="54856"/>
  <c r="F329" i="54856"/>
  <c r="H329" i="54856"/>
  <c r="G329" i="54856"/>
  <c r="C329" i="54856"/>
  <c r="E329" i="54856"/>
  <c r="B330" i="54856"/>
  <c r="G330" i="54854"/>
  <c r="D330" i="54854"/>
  <c r="E330" i="54854"/>
  <c r="F330" i="54854"/>
  <c r="B331" i="54854"/>
  <c r="H330" i="54854"/>
  <c r="C330" i="54854"/>
  <c r="D330" i="54856"/>
  <c r="F330" i="54856"/>
  <c r="H330" i="54856"/>
  <c r="G330" i="54856"/>
  <c r="E330" i="54856"/>
  <c r="B331" i="54856"/>
  <c r="C330" i="54856"/>
  <c r="F331" i="54854"/>
  <c r="C331" i="54854"/>
  <c r="H331" i="54854"/>
  <c r="E331" i="54854"/>
  <c r="D331" i="54854"/>
  <c r="G331" i="54854"/>
  <c r="B332" i="54854"/>
  <c r="H331" i="54856"/>
  <c r="E331" i="54856"/>
  <c r="F331" i="54856"/>
  <c r="B332" i="54856"/>
  <c r="C331" i="54856"/>
  <c r="D331" i="54856"/>
  <c r="G331" i="54856"/>
  <c r="B333" i="54854"/>
  <c r="H332" i="54854"/>
  <c r="G332" i="54854"/>
  <c r="E332" i="54854"/>
  <c r="C332" i="54854"/>
  <c r="D332" i="54854"/>
  <c r="F332" i="54854"/>
  <c r="B333" i="54856"/>
  <c r="D332" i="54856"/>
  <c r="F332" i="54856"/>
  <c r="E332" i="54856"/>
  <c r="G332" i="54856"/>
  <c r="H332" i="54856"/>
  <c r="C332" i="54856"/>
  <c r="E333" i="54856"/>
  <c r="C333" i="54856"/>
  <c r="H333" i="54856"/>
  <c r="D333" i="54856"/>
  <c r="B334" i="54856"/>
  <c r="F333" i="54856"/>
  <c r="G333" i="54856"/>
  <c r="F333" i="54854"/>
  <c r="B334" i="54854"/>
  <c r="H333" i="54854"/>
  <c r="C333" i="54854"/>
  <c r="E333" i="54854"/>
  <c r="D333" i="54854"/>
  <c r="G333" i="54854"/>
  <c r="H334" i="54856"/>
  <c r="G334" i="54856"/>
  <c r="D334" i="54856"/>
  <c r="F334" i="54856"/>
  <c r="E334" i="54856"/>
  <c r="C334" i="54856"/>
  <c r="B335" i="54856"/>
  <c r="F334" i="54854"/>
  <c r="E334" i="54854"/>
  <c r="G334" i="54854"/>
  <c r="B335" i="54854"/>
  <c r="H334" i="54854"/>
  <c r="C334" i="54854"/>
  <c r="D334" i="54854"/>
  <c r="B336" i="54856"/>
  <c r="H335" i="54856"/>
  <c r="C335" i="54856"/>
  <c r="F335" i="54856"/>
  <c r="E335" i="54856"/>
  <c r="G335" i="54856"/>
  <c r="D335" i="54856"/>
  <c r="G335" i="54854"/>
  <c r="B336" i="54854"/>
  <c r="C335" i="54854"/>
  <c r="E335" i="54854"/>
  <c r="F335" i="54854"/>
  <c r="D335" i="54854"/>
  <c r="H335" i="54854"/>
  <c r="B337" i="54854"/>
  <c r="C336" i="54854"/>
  <c r="H336" i="54854"/>
  <c r="D336" i="54854"/>
  <c r="E336" i="54854"/>
  <c r="F336" i="54854"/>
  <c r="G336" i="54854"/>
  <c r="H336" i="54856"/>
  <c r="G336" i="54856"/>
  <c r="D336" i="54856"/>
  <c r="B337" i="54856"/>
  <c r="F336" i="54856"/>
  <c r="C336" i="54856"/>
  <c r="E336" i="54856"/>
  <c r="D337" i="54856"/>
  <c r="G337" i="54856"/>
  <c r="E337" i="54856"/>
  <c r="H337" i="54856"/>
  <c r="C337" i="54856"/>
  <c r="B338" i="54856"/>
  <c r="F337" i="54856"/>
  <c r="D337" i="54854"/>
  <c r="C337" i="54854"/>
  <c r="H337" i="54854"/>
  <c r="G337" i="54854"/>
  <c r="E337" i="54854"/>
  <c r="B338" i="54854"/>
  <c r="F337" i="54854"/>
  <c r="D338" i="54854"/>
  <c r="H338" i="54854"/>
  <c r="B339" i="54854"/>
  <c r="G338" i="54854"/>
  <c r="F338" i="54854"/>
  <c r="C338" i="54854"/>
  <c r="E338" i="54854"/>
  <c r="H338" i="54856"/>
  <c r="F338" i="54856"/>
  <c r="B339" i="54856"/>
  <c r="C338" i="54856"/>
  <c r="G338" i="54856"/>
  <c r="E338" i="54856"/>
  <c r="D338" i="54856"/>
  <c r="H339" i="54854"/>
  <c r="C339" i="54854"/>
  <c r="D339" i="54854"/>
  <c r="E339" i="54854"/>
  <c r="F339" i="54854"/>
  <c r="G339" i="54854"/>
  <c r="B340" i="54854"/>
  <c r="E339" i="54856"/>
  <c r="C339" i="54856"/>
  <c r="G339" i="54856"/>
  <c r="B340" i="54856"/>
  <c r="F339" i="54856"/>
  <c r="D339" i="54856"/>
  <c r="H339" i="54856"/>
  <c r="D340" i="54854"/>
  <c r="F340" i="54854"/>
  <c r="E340" i="54854"/>
  <c r="G340" i="54854"/>
  <c r="H340" i="54854"/>
  <c r="C340" i="54854"/>
  <c r="B341" i="54854"/>
  <c r="H340" i="54856"/>
  <c r="G340" i="54856"/>
  <c r="F340" i="54856"/>
  <c r="E340" i="54856"/>
  <c r="B341" i="54856"/>
  <c r="D340" i="54856"/>
  <c r="C340" i="54856"/>
  <c r="F341" i="54854"/>
  <c r="D341" i="54854"/>
  <c r="G341" i="54854"/>
  <c r="H341" i="54854"/>
  <c r="C341" i="54854"/>
  <c r="B342" i="54854"/>
  <c r="E341" i="54854"/>
  <c r="C341" i="54856"/>
  <c r="E341" i="54856"/>
  <c r="H341" i="54856"/>
  <c r="B342" i="54856"/>
  <c r="D341" i="54856"/>
  <c r="F341" i="54856"/>
  <c r="G341" i="54856"/>
  <c r="F342" i="54856"/>
  <c r="E342" i="54856"/>
  <c r="C342" i="54856"/>
  <c r="G342" i="54856"/>
  <c r="B343" i="54856"/>
  <c r="D342" i="54856"/>
  <c r="H342" i="54856"/>
  <c r="E342" i="54854"/>
  <c r="C342" i="54854"/>
  <c r="G342" i="54854"/>
  <c r="H342" i="54854"/>
  <c r="D342" i="54854"/>
  <c r="F342" i="54854"/>
  <c r="B343" i="54854"/>
  <c r="F343" i="54856"/>
  <c r="E343" i="54856"/>
  <c r="C343" i="54856"/>
  <c r="H343" i="54856"/>
  <c r="G343" i="54856"/>
  <c r="D343" i="54856"/>
  <c r="B344" i="54856"/>
  <c r="E343" i="54854"/>
  <c r="G343" i="54854"/>
  <c r="H343" i="54854"/>
  <c r="C343" i="54854"/>
  <c r="F343" i="54854"/>
  <c r="B344" i="54854"/>
  <c r="D343" i="54854"/>
  <c r="G344" i="54856"/>
  <c r="C344" i="54856"/>
  <c r="B345" i="54856"/>
  <c r="H344" i="54856"/>
  <c r="D344" i="54856"/>
  <c r="F344" i="54856"/>
  <c r="E344" i="54856"/>
  <c r="E344" i="54854"/>
  <c r="C344" i="54854"/>
  <c r="B345" i="54854"/>
  <c r="G344" i="54854"/>
  <c r="F344" i="54854"/>
  <c r="H344" i="54854"/>
  <c r="D344" i="54854"/>
  <c r="F345" i="54854"/>
  <c r="C345" i="54854"/>
  <c r="B346" i="54854"/>
  <c r="E345" i="54854"/>
  <c r="H345" i="54854"/>
  <c r="D345" i="54854"/>
  <c r="G345" i="54854"/>
  <c r="G345" i="54856"/>
  <c r="D345" i="54856"/>
  <c r="H345" i="54856"/>
  <c r="E345" i="54856"/>
  <c r="F345" i="54856"/>
  <c r="C345" i="54856"/>
  <c r="B346" i="54856"/>
  <c r="E346" i="54856"/>
  <c r="D346" i="54856"/>
  <c r="G346" i="54856"/>
  <c r="B347" i="54856"/>
  <c r="C346" i="54856"/>
  <c r="F346" i="54856"/>
  <c r="H346" i="54856"/>
  <c r="D346" i="54854"/>
  <c r="B347" i="54854"/>
  <c r="G346" i="54854"/>
  <c r="H346" i="54854"/>
  <c r="F346" i="54854"/>
  <c r="E346" i="54854"/>
  <c r="C346" i="54854"/>
  <c r="H347" i="54854"/>
  <c r="B348" i="54854"/>
  <c r="G347" i="54854"/>
  <c r="E347" i="54854"/>
  <c r="C347" i="54854"/>
  <c r="D347" i="54854"/>
  <c r="F347" i="54854"/>
  <c r="G347" i="54856"/>
  <c r="B348" i="54856"/>
  <c r="C347" i="54856"/>
  <c r="H347" i="54856"/>
  <c r="F347" i="54856"/>
  <c r="D347" i="54856"/>
  <c r="E347" i="54856"/>
  <c r="C348" i="54854"/>
  <c r="H348" i="54854"/>
  <c r="B349" i="54854"/>
  <c r="F348" i="54854"/>
  <c r="G348" i="54854"/>
  <c r="E348" i="54854"/>
  <c r="D348" i="54854"/>
  <c r="H348" i="54856"/>
  <c r="B349" i="54856"/>
  <c r="D348" i="54856"/>
  <c r="E348" i="54856"/>
  <c r="G348" i="54856"/>
  <c r="C348" i="54856"/>
  <c r="F348" i="54856"/>
  <c r="H349" i="54854"/>
  <c r="G349" i="54854"/>
  <c r="D349" i="54854"/>
  <c r="F349" i="54854"/>
  <c r="E349" i="54854"/>
  <c r="B350" i="54854"/>
  <c r="C349" i="54854"/>
  <c r="F349" i="54856"/>
  <c r="B350" i="54856"/>
  <c r="E349" i="54856"/>
  <c r="H349" i="54856"/>
  <c r="C349" i="54856"/>
  <c r="G349" i="54856"/>
  <c r="D349" i="54856"/>
  <c r="G350" i="54856"/>
  <c r="C350" i="54856"/>
  <c r="H350" i="54856"/>
  <c r="B351" i="54856"/>
  <c r="E350" i="54856"/>
  <c r="D350" i="54856"/>
  <c r="F350" i="54856"/>
  <c r="E350" i="54854"/>
  <c r="B351" i="54854"/>
  <c r="F350" i="54854"/>
  <c r="H350" i="54854"/>
  <c r="D350" i="54854"/>
  <c r="G350" i="54854"/>
  <c r="C350" i="54854"/>
  <c r="F351" i="54854"/>
  <c r="C351" i="54854"/>
  <c r="D351" i="54854"/>
  <c r="E351" i="54854"/>
  <c r="H351" i="54854"/>
  <c r="B352" i="54854"/>
  <c r="G351" i="54854"/>
  <c r="B352" i="54856"/>
  <c r="D351" i="54856"/>
  <c r="H351" i="54856"/>
  <c r="F351" i="54856"/>
  <c r="E351" i="54856"/>
  <c r="G351" i="54856"/>
  <c r="C351" i="54856"/>
  <c r="H352" i="54856"/>
  <c r="E352" i="54856"/>
  <c r="C352" i="54856"/>
  <c r="G352" i="54856"/>
  <c r="B353" i="54856"/>
  <c r="F352" i="54856"/>
  <c r="D352" i="54856"/>
  <c r="F352" i="54854"/>
  <c r="B353" i="54854"/>
  <c r="E352" i="54854"/>
  <c r="D352" i="54854"/>
  <c r="C352" i="54854"/>
  <c r="H352" i="54854"/>
  <c r="G352" i="54854"/>
  <c r="H353" i="54854"/>
  <c r="B354" i="54854"/>
  <c r="E353" i="54854"/>
  <c r="D353" i="54854"/>
  <c r="G353" i="54854"/>
  <c r="F353" i="54854"/>
  <c r="C353" i="54854"/>
  <c r="B354" i="54856"/>
  <c r="H353" i="54856"/>
  <c r="D353" i="54856"/>
  <c r="F353" i="54856"/>
  <c r="C353" i="54856"/>
  <c r="G353" i="54856"/>
  <c r="E353" i="54856"/>
  <c r="B355" i="54856"/>
  <c r="D354" i="54856"/>
  <c r="E354" i="54856"/>
  <c r="C354" i="54856"/>
  <c r="F354" i="54856"/>
  <c r="G354" i="54856"/>
  <c r="H354" i="54856"/>
  <c r="C354" i="54854"/>
  <c r="H354" i="54854"/>
  <c r="F354" i="54854"/>
  <c r="G354" i="54854"/>
  <c r="B355" i="54854"/>
  <c r="D354" i="54854"/>
  <c r="E354" i="54854"/>
  <c r="C355" i="54854"/>
  <c r="F355" i="54854"/>
  <c r="E355" i="54854"/>
  <c r="H355" i="54854"/>
  <c r="D355" i="54854"/>
  <c r="B356" i="54854"/>
  <c r="G355" i="54854"/>
  <c r="D355" i="54856"/>
  <c r="H355" i="54856"/>
  <c r="F355" i="54856"/>
  <c r="G355" i="54856"/>
  <c r="E355" i="54856"/>
  <c r="B356" i="54856"/>
  <c r="C355" i="54856"/>
  <c r="G356" i="54854"/>
  <c r="B357" i="54854"/>
  <c r="F356" i="54854"/>
  <c r="H356" i="54854"/>
  <c r="C356" i="54854"/>
  <c r="D356" i="54854"/>
  <c r="E356" i="54854"/>
  <c r="H356" i="54856"/>
  <c r="B357" i="54856"/>
  <c r="E356" i="54856"/>
  <c r="C356" i="54856"/>
  <c r="F356" i="54856"/>
  <c r="G356" i="54856"/>
  <c r="D356" i="54856"/>
  <c r="G357" i="54854"/>
  <c r="C357" i="54854"/>
  <c r="E357" i="54854"/>
  <c r="D357" i="54854"/>
  <c r="H357" i="54854"/>
  <c r="B358" i="54854"/>
  <c r="F357" i="54854"/>
  <c r="F357" i="54856"/>
  <c r="H357" i="54856"/>
  <c r="C357" i="54856"/>
  <c r="G357" i="54856"/>
  <c r="B358" i="54856"/>
  <c r="E357" i="54856"/>
  <c r="D357" i="54856"/>
  <c r="C358" i="54856"/>
  <c r="E358" i="54856"/>
  <c r="F358" i="54856"/>
  <c r="G358" i="54856"/>
  <c r="D358" i="54856"/>
  <c r="B359" i="54856"/>
  <c r="H358" i="54856"/>
  <c r="H358" i="54854"/>
  <c r="G358" i="54854"/>
  <c r="C358" i="54854"/>
  <c r="F358" i="54854"/>
  <c r="E358" i="54854"/>
  <c r="D358" i="54854"/>
  <c r="B359" i="54854"/>
  <c r="G359" i="54854"/>
  <c r="F359" i="54854"/>
  <c r="D359" i="54854"/>
  <c r="H359" i="54854"/>
  <c r="E359" i="54854"/>
  <c r="C359" i="54854"/>
  <c r="B360" i="54854"/>
  <c r="F359" i="54856"/>
  <c r="G359" i="54856"/>
  <c r="E359" i="54856"/>
  <c r="C359" i="54856"/>
  <c r="H359" i="54856"/>
  <c r="B360" i="54856"/>
  <c r="D359" i="54856"/>
  <c r="B361" i="54856"/>
  <c r="G360" i="54856"/>
  <c r="H360" i="54856"/>
  <c r="D360" i="54856"/>
  <c r="E360" i="54856"/>
  <c r="C360" i="54856"/>
  <c r="F360" i="54856"/>
  <c r="B361" i="54854"/>
  <c r="G360" i="54854"/>
  <c r="E360" i="54854"/>
  <c r="C360" i="54854"/>
  <c r="F360" i="54854"/>
  <c r="D360" i="54854"/>
  <c r="H360" i="54854"/>
  <c r="E361" i="54854"/>
  <c r="C361" i="54854"/>
  <c r="B362" i="54854"/>
  <c r="D361" i="54854"/>
  <c r="H361" i="54854"/>
  <c r="G361" i="54854"/>
  <c r="F361" i="54854"/>
  <c r="G361" i="54856"/>
  <c r="E361" i="54856"/>
  <c r="H361" i="54856"/>
  <c r="C361" i="54856"/>
  <c r="D361" i="54856"/>
  <c r="F361" i="54856"/>
  <c r="B362" i="54856"/>
  <c r="F362" i="54854"/>
  <c r="B363" i="54854"/>
  <c r="D362" i="54854"/>
  <c r="G362" i="54854"/>
  <c r="H362" i="54854"/>
  <c r="E362" i="54854"/>
  <c r="C362" i="54854"/>
  <c r="B363" i="54856"/>
  <c r="E362" i="54856"/>
  <c r="C362" i="54856"/>
  <c r="D362" i="54856"/>
  <c r="G362" i="54856"/>
  <c r="H362" i="54856"/>
  <c r="F362" i="54856"/>
  <c r="F363" i="54854"/>
  <c r="G363" i="54854"/>
  <c r="B364" i="54854"/>
  <c r="D363" i="54854"/>
  <c r="C363" i="54854"/>
  <c r="E363" i="54854"/>
  <c r="H363" i="54854"/>
  <c r="B364" i="54856"/>
  <c r="F363" i="54856"/>
  <c r="C363" i="54856"/>
  <c r="D363" i="54856"/>
  <c r="E363" i="54856"/>
  <c r="G363" i="54856"/>
  <c r="H363" i="54856"/>
  <c r="G364" i="54854"/>
  <c r="E364" i="54854"/>
  <c r="F364" i="54854"/>
  <c r="D364" i="54854"/>
  <c r="C364" i="54854"/>
  <c r="B365" i="54854"/>
  <c r="H364" i="54854"/>
  <c r="F364" i="54856"/>
  <c r="C364" i="54856"/>
  <c r="B365" i="54856"/>
  <c r="E364" i="54856"/>
  <c r="H364" i="54856"/>
  <c r="D364" i="54856"/>
  <c r="G364" i="54856"/>
  <c r="E365" i="54856"/>
  <c r="G365" i="54856"/>
  <c r="F365" i="54856"/>
  <c r="B366" i="54856"/>
  <c r="D365" i="54856"/>
  <c r="C365" i="54856"/>
  <c r="H365" i="54856"/>
  <c r="H365" i="54854"/>
  <c r="E365" i="54854"/>
  <c r="D365" i="54854"/>
  <c r="F365" i="54854"/>
  <c r="B366" i="54854"/>
  <c r="C365" i="54854"/>
  <c r="G365" i="54854"/>
  <c r="H366" i="54854"/>
  <c r="F366" i="54854"/>
  <c r="G366" i="54854"/>
  <c r="C366" i="54854"/>
  <c r="B367" i="54854"/>
  <c r="E366" i="54854"/>
  <c r="D366" i="54854"/>
  <c r="F366" i="54856"/>
  <c r="B367" i="54856"/>
  <c r="C366" i="54856"/>
  <c r="H366" i="54856"/>
  <c r="G366" i="54856"/>
  <c r="E366" i="54856"/>
  <c r="D366" i="54856"/>
  <c r="G367" i="54856"/>
  <c r="E367" i="54856"/>
  <c r="B368" i="54856"/>
  <c r="H367" i="54856"/>
  <c r="C367" i="54856"/>
  <c r="F367" i="54856"/>
  <c r="D367" i="54856"/>
  <c r="F367" i="54854"/>
  <c r="B368" i="54854"/>
  <c r="E367" i="54854"/>
  <c r="H367" i="54854"/>
  <c r="G367" i="54854"/>
  <c r="C367" i="54854"/>
  <c r="D367" i="54854"/>
  <c r="H368" i="54854"/>
  <c r="G368" i="54854"/>
  <c r="F368" i="54854"/>
  <c r="E368" i="54854"/>
  <c r="B369" i="54854"/>
  <c r="D368" i="54854"/>
  <c r="C368" i="54854"/>
  <c r="C368" i="54856"/>
  <c r="H368" i="54856"/>
  <c r="G368" i="54856"/>
  <c r="E368" i="54856"/>
  <c r="F368" i="54856"/>
  <c r="B369" i="54856"/>
  <c r="D368" i="54856"/>
  <c r="G369" i="54854"/>
  <c r="D369" i="54854"/>
  <c r="C369" i="54854"/>
  <c r="F369" i="54854"/>
  <c r="B370" i="54854"/>
  <c r="E369" i="54854"/>
  <c r="H369" i="54854"/>
  <c r="E369" i="54856"/>
  <c r="H369" i="54856"/>
  <c r="D369" i="54856"/>
  <c r="B370" i="54856"/>
  <c r="C369" i="54856"/>
  <c r="G369" i="54856"/>
  <c r="F369" i="54856"/>
  <c r="E370" i="54854"/>
  <c r="C370" i="54854"/>
  <c r="H370" i="54854"/>
  <c r="F370" i="54854"/>
  <c r="D370" i="54854"/>
  <c r="B371" i="54854"/>
  <c r="G370" i="54854"/>
  <c r="C370" i="54856"/>
  <c r="F370" i="54856"/>
  <c r="H370" i="54856"/>
  <c r="E370" i="54856"/>
  <c r="D370" i="54856"/>
  <c r="G370" i="54856"/>
  <c r="B371" i="54856"/>
  <c r="C371" i="54856"/>
  <c r="F371" i="54856"/>
  <c r="H371" i="54856"/>
  <c r="E371" i="54856"/>
  <c r="B372" i="54856"/>
  <c r="D371" i="54856"/>
  <c r="G371" i="54856"/>
  <c r="E371" i="54854"/>
  <c r="G371" i="54854"/>
  <c r="D371" i="54854"/>
  <c r="C371" i="54854"/>
  <c r="H371" i="54854"/>
  <c r="F371" i="54854"/>
  <c r="B372" i="54854"/>
  <c r="G372" i="54854"/>
  <c r="E372" i="54854"/>
  <c r="C372" i="54854"/>
  <c r="B373" i="54854"/>
  <c r="H372" i="54854"/>
  <c r="F372" i="54854"/>
  <c r="D372" i="54854"/>
  <c r="G372" i="54856"/>
  <c r="D372" i="54856"/>
  <c r="C372" i="54856"/>
  <c r="F372" i="54856"/>
  <c r="H372" i="54856"/>
  <c r="E372" i="54856"/>
  <c r="B373" i="54856"/>
  <c r="F373" i="54856"/>
  <c r="H373" i="54856"/>
  <c r="C373" i="54856"/>
  <c r="D373" i="54856"/>
  <c r="G373" i="54856"/>
  <c r="B374" i="54856"/>
  <c r="E373" i="54856"/>
  <c r="B374" i="54854"/>
  <c r="H373" i="54854"/>
  <c r="D373" i="54854"/>
  <c r="G373" i="54854"/>
  <c r="F373" i="54854"/>
  <c r="C373" i="54854"/>
  <c r="E373" i="54854"/>
  <c r="E374" i="54854"/>
  <c r="F374" i="54854"/>
  <c r="B375" i="54854"/>
  <c r="D374" i="54854"/>
  <c r="H374" i="54854"/>
  <c r="C374" i="54854"/>
  <c r="G374" i="54854"/>
  <c r="H374" i="54856"/>
  <c r="C374" i="54856"/>
  <c r="G374" i="54856"/>
  <c r="F374" i="54856"/>
  <c r="B375" i="54856"/>
  <c r="E374" i="54856"/>
  <c r="D374" i="54856"/>
  <c r="F375" i="54854"/>
  <c r="D375" i="54854"/>
  <c r="E375" i="54854"/>
  <c r="C375" i="54854"/>
  <c r="H375" i="54854"/>
  <c r="G375" i="54854"/>
  <c r="B376" i="54854"/>
  <c r="E375" i="54856"/>
  <c r="B376" i="54856"/>
  <c r="H375" i="54856"/>
  <c r="C375" i="54856"/>
  <c r="D375" i="54856"/>
  <c r="G375" i="54856"/>
  <c r="F375" i="54856"/>
  <c r="G376" i="54854"/>
  <c r="E376" i="54854"/>
  <c r="B377" i="54854"/>
  <c r="H376" i="54854"/>
  <c r="D376" i="54854"/>
  <c r="C376" i="54854"/>
  <c r="F376" i="54854"/>
  <c r="G376" i="54856"/>
  <c r="D376" i="54856"/>
  <c r="E376" i="54856"/>
  <c r="C376" i="54856"/>
  <c r="H376" i="54856"/>
  <c r="B377" i="54856"/>
  <c r="F376" i="54856"/>
  <c r="D377" i="54854"/>
  <c r="C377" i="54854"/>
  <c r="B378" i="54854"/>
  <c r="E377" i="54854"/>
  <c r="H377" i="54854"/>
  <c r="F377" i="54854"/>
  <c r="G377" i="54854"/>
  <c r="G377" i="54856"/>
  <c r="F377" i="54856"/>
  <c r="D377" i="54856"/>
  <c r="C377" i="54856"/>
  <c r="E377" i="54856"/>
  <c r="B378" i="54856"/>
  <c r="H377" i="54856"/>
  <c r="F378" i="54856"/>
  <c r="G378" i="54856"/>
  <c r="C378" i="54856"/>
  <c r="D378" i="54856"/>
  <c r="E378" i="54856"/>
  <c r="H378" i="54856"/>
  <c r="C378" i="54854"/>
  <c r="D378" i="54854"/>
  <c r="D8" i="54854"/>
  <c r="E378" i="54854"/>
  <c r="G378" i="54854"/>
  <c r="H378" i="54854"/>
  <c r="F378" i="54854"/>
  <c r="X44" i="54832"/>
  <c r="Z44" i="54832"/>
  <c r="U44" i="54832"/>
  <c r="W44" i="54832"/>
  <c r="R44" i="54832"/>
  <c r="T44" i="54832"/>
  <c r="O44" i="54832"/>
  <c r="O46" i="54832"/>
  <c r="L44" i="54832"/>
  <c r="L46" i="54832"/>
  <c r="I44" i="54832"/>
  <c r="K44" i="54832"/>
  <c r="F44" i="54832"/>
  <c r="H44" i="54832"/>
  <c r="F46" i="54832"/>
  <c r="H46" i="54832"/>
  <c r="X46" i="54832"/>
  <c r="X48" i="54832"/>
  <c r="X63" i="54832"/>
  <c r="I46" i="54832"/>
  <c r="K46" i="54832"/>
  <c r="O48" i="54832"/>
  <c r="O62" i="54832"/>
  <c r="Q46" i="54832"/>
  <c r="L48" i="54832"/>
  <c r="N46" i="54832"/>
  <c r="E31" i="16"/>
  <c r="R46" i="54832"/>
  <c r="N44" i="54832"/>
  <c r="Q44" i="54832"/>
  <c r="X62" i="54832"/>
  <c r="X61" i="54832"/>
  <c r="X60" i="54832"/>
  <c r="O61" i="54832"/>
  <c r="U46" i="54832"/>
  <c r="D31" i="16"/>
  <c r="D32" i="16"/>
  <c r="D7" i="54858"/>
  <c r="E7" i="54858"/>
  <c r="G31" i="16"/>
  <c r="L55" i="54832"/>
  <c r="X54" i="54832"/>
  <c r="F48" i="54832"/>
  <c r="F57" i="54832"/>
  <c r="Z46" i="54832"/>
  <c r="L63" i="54832"/>
  <c r="O60" i="54832"/>
  <c r="L61" i="54832"/>
  <c r="L60" i="54832"/>
  <c r="I48" i="54832"/>
  <c r="I60" i="54832"/>
  <c r="L62" i="54832"/>
  <c r="T46" i="54832"/>
  <c r="R48" i="54832"/>
  <c r="O54" i="54832"/>
  <c r="O63" i="54832"/>
  <c r="U48" i="54832"/>
  <c r="W46" i="54832"/>
  <c r="F55" i="54832"/>
  <c r="F61" i="54832"/>
  <c r="F62" i="54832"/>
  <c r="F63" i="54832"/>
  <c r="F60" i="54832"/>
  <c r="F54" i="54832"/>
  <c r="I57" i="54832"/>
  <c r="I62" i="54832"/>
  <c r="I54" i="54832"/>
  <c r="I63" i="54832"/>
  <c r="I55" i="54832"/>
  <c r="I61" i="54832"/>
  <c r="R62" i="54832"/>
  <c r="R63" i="54832"/>
  <c r="R60" i="54832"/>
  <c r="R54" i="54832"/>
  <c r="R61" i="54832"/>
  <c r="U63" i="54832"/>
  <c r="U62" i="54832"/>
  <c r="U54" i="54832"/>
  <c r="U61" i="54832"/>
  <c r="U60" i="54832"/>
  <c r="D3" i="101"/>
  <c r="H17" i="101"/>
  <c r="D18" i="101"/>
  <c r="E18" i="101"/>
  <c r="C6" i="54845"/>
  <c r="D7" i="101"/>
  <c r="C5" i="54848"/>
  <c r="C6" i="54848"/>
  <c r="J26" i="54843"/>
  <c r="C73" i="54843"/>
  <c r="C81" i="54843"/>
  <c r="D73" i="54843"/>
  <c r="C26" i="54843"/>
  <c r="D17" i="54848"/>
  <c r="E13" i="54848"/>
  <c r="D24" i="54848"/>
  <c r="L17" i="54848"/>
  <c r="D9" i="54840"/>
  <c r="D11" i="54840"/>
  <c r="D15" i="54840"/>
  <c r="E19" i="54848"/>
  <c r="C12" i="54843"/>
  <c r="C63" i="54843"/>
  <c r="E14" i="54841"/>
  <c r="B21" i="101"/>
  <c r="C18" i="101"/>
  <c r="J61" i="54843"/>
  <c r="E31" i="54841"/>
  <c r="C80" i="54843"/>
  <c r="H8" i="54839"/>
  <c r="H10" i="54839"/>
  <c r="L7" i="54839"/>
  <c r="J8" i="54839"/>
  <c r="F10" i="54839"/>
  <c r="F11" i="54839"/>
  <c r="F13" i="54839"/>
  <c r="D11" i="54839"/>
  <c r="D13" i="54839"/>
  <c r="D10" i="54839"/>
  <c r="H9" i="54839"/>
  <c r="H11" i="54839"/>
  <c r="H13" i="54839"/>
  <c r="C14" i="54848"/>
  <c r="D36" i="16"/>
  <c r="D10" i="16"/>
  <c r="D11" i="16"/>
  <c r="D9" i="16"/>
  <c r="D39" i="16"/>
  <c r="C28" i="54845"/>
  <c r="C31" i="54845"/>
  <c r="C7" i="54845"/>
  <c r="L54" i="54832"/>
  <c r="L57" i="54832"/>
  <c r="D19" i="16"/>
  <c r="AQ8" i="54832"/>
  <c r="M5" i="54858"/>
  <c r="N5" i="54858"/>
  <c r="C24" i="54848"/>
  <c r="D20" i="54848"/>
  <c r="C17" i="54848"/>
  <c r="D13" i="54848"/>
  <c r="E14" i="54848"/>
  <c r="D15" i="54848"/>
  <c r="D21" i="54848"/>
  <c r="AA8" i="54843"/>
  <c r="E15" i="54848"/>
  <c r="V8" i="16"/>
  <c r="D22" i="54848"/>
  <c r="D14" i="54848"/>
  <c r="C22" i="54848"/>
  <c r="C15" i="54848"/>
  <c r="C47" i="54839"/>
  <c r="C27" i="54840"/>
  <c r="F129" i="54843"/>
  <c r="F132" i="54843"/>
  <c r="C61" i="54843"/>
  <c r="K16" i="54848"/>
  <c r="G16" i="54848"/>
  <c r="H16" i="54848"/>
  <c r="F16" i="54848"/>
  <c r="J16" i="54848"/>
  <c r="L16" i="54848"/>
  <c r="I16" i="54848"/>
  <c r="E20" i="54848"/>
  <c r="D16" i="54840"/>
  <c r="D3" i="54856"/>
  <c r="D7" i="54856"/>
  <c r="H19" i="54848"/>
  <c r="F19" i="54848"/>
  <c r="E24" i="54841"/>
  <c r="F18" i="101"/>
  <c r="B22" i="101"/>
  <c r="G26" i="54839"/>
  <c r="G19" i="54839"/>
  <c r="G25" i="54839"/>
  <c r="G20" i="54839"/>
  <c r="F24" i="54839"/>
  <c r="F30" i="54839"/>
  <c r="F32" i="54839"/>
  <c r="G27" i="54839"/>
  <c r="G28" i="54839"/>
  <c r="G18" i="54839"/>
  <c r="G17" i="54839"/>
  <c r="G21" i="54839"/>
  <c r="G29" i="54839"/>
  <c r="G22" i="54839"/>
  <c r="G16" i="54839"/>
  <c r="I22" i="54839"/>
  <c r="I18" i="54839"/>
  <c r="I26" i="54839"/>
  <c r="I20" i="54839"/>
  <c r="I29" i="54839"/>
  <c r="I28" i="54839"/>
  <c r="I16" i="54839"/>
  <c r="H24" i="54839"/>
  <c r="H30" i="54839"/>
  <c r="H32" i="54839"/>
  <c r="I27" i="54839"/>
  <c r="I19" i="54839"/>
  <c r="I25" i="54839"/>
  <c r="I21" i="54839"/>
  <c r="I17" i="54839"/>
  <c r="E29" i="54839"/>
  <c r="E28" i="54839"/>
  <c r="E27" i="54839"/>
  <c r="E18" i="54839"/>
  <c r="E25" i="54839"/>
  <c r="E20" i="54839"/>
  <c r="E22" i="54839"/>
  <c r="E21" i="54839"/>
  <c r="K11" i="54858"/>
  <c r="E26" i="54839"/>
  <c r="E16" i="54839"/>
  <c r="L11" i="54858"/>
  <c r="C11" i="54858"/>
  <c r="E19" i="54839"/>
  <c r="D24" i="54839"/>
  <c r="D30" i="54839"/>
  <c r="D32" i="54839"/>
  <c r="E17" i="54839"/>
  <c r="J9" i="54839"/>
  <c r="J10" i="54839"/>
  <c r="N7" i="54839"/>
  <c r="L8" i="54839"/>
  <c r="C16" i="54848"/>
  <c r="L12" i="54858"/>
  <c r="C12" i="54858"/>
  <c r="K12" i="54858"/>
  <c r="E16" i="54848"/>
  <c r="C9" i="54845"/>
  <c r="C24" i="54843"/>
  <c r="M24" i="54843"/>
  <c r="C35" i="54845"/>
  <c r="C47" i="54845"/>
  <c r="D16" i="54848"/>
  <c r="D23" i="54848"/>
  <c r="C23" i="54848"/>
  <c r="H17" i="54856"/>
  <c r="D18" i="54856"/>
  <c r="B23" i="101"/>
  <c r="H18" i="101"/>
  <c r="G18" i="101"/>
  <c r="J11" i="54839"/>
  <c r="J13" i="54839"/>
  <c r="K18" i="54839"/>
  <c r="F55" i="54839"/>
  <c r="F56" i="54839"/>
  <c r="F57" i="54839"/>
  <c r="K25" i="54839"/>
  <c r="K29" i="54839"/>
  <c r="K21" i="54839"/>
  <c r="K22" i="54839"/>
  <c r="J24" i="54839"/>
  <c r="J30" i="54839"/>
  <c r="K20" i="54839"/>
  <c r="L9" i="54839"/>
  <c r="L10" i="54839"/>
  <c r="L11" i="54839"/>
  <c r="L13" i="54839"/>
  <c r="N8" i="54839"/>
  <c r="P7" i="54839"/>
  <c r="G30" i="54839"/>
  <c r="F31" i="54839"/>
  <c r="AC15" i="54839"/>
  <c r="AA14" i="54843"/>
  <c r="AQ14" i="54832"/>
  <c r="V14" i="16"/>
  <c r="H56" i="54839"/>
  <c r="H55" i="54839"/>
  <c r="H57" i="54839"/>
  <c r="I30" i="54839"/>
  <c r="H31" i="54839"/>
  <c r="D56" i="54839"/>
  <c r="D57" i="54839"/>
  <c r="D55" i="54839"/>
  <c r="D31" i="54839"/>
  <c r="E30" i="54839"/>
  <c r="V15" i="16"/>
  <c r="AC16" i="54839"/>
  <c r="AA15" i="54843"/>
  <c r="M12" i="54858"/>
  <c r="D18" i="16"/>
  <c r="C8" i="54845"/>
  <c r="C12" i="54845"/>
  <c r="G12" i="54843"/>
  <c r="G63" i="54843"/>
  <c r="C19" i="54856"/>
  <c r="C21" i="54856"/>
  <c r="C23" i="54856"/>
  <c r="C25" i="54856"/>
  <c r="C27" i="54856"/>
  <c r="C29" i="54856"/>
  <c r="C31" i="54856"/>
  <c r="C33" i="54856"/>
  <c r="C35" i="54856"/>
  <c r="C37" i="54856"/>
  <c r="C39" i="54856"/>
  <c r="C41" i="54856"/>
  <c r="C100" i="54856"/>
  <c r="C134" i="54856"/>
  <c r="C145" i="54856"/>
  <c r="C151" i="54856"/>
  <c r="C163" i="54856"/>
  <c r="C166" i="54856"/>
  <c r="C176" i="54856"/>
  <c r="C186" i="54856"/>
  <c r="C203" i="54856"/>
  <c r="C102" i="54856"/>
  <c r="C105" i="54856"/>
  <c r="C108" i="54856"/>
  <c r="C111" i="54856"/>
  <c r="C114" i="54856"/>
  <c r="C117" i="54856"/>
  <c r="C120" i="54856"/>
  <c r="C123" i="54856"/>
  <c r="C129" i="54856"/>
  <c r="C139" i="54856"/>
  <c r="C140" i="54856"/>
  <c r="C148" i="54856"/>
  <c r="C152" i="54856"/>
  <c r="C174" i="54856"/>
  <c r="C183" i="54856"/>
  <c r="C189" i="54856"/>
  <c r="C192" i="54856"/>
  <c r="C195" i="54856"/>
  <c r="C205" i="54856"/>
  <c r="C82" i="54856"/>
  <c r="C85" i="54856"/>
  <c r="C91" i="54856"/>
  <c r="C98" i="54856"/>
  <c r="C121" i="54856"/>
  <c r="C126" i="54856"/>
  <c r="C132" i="54856"/>
  <c r="C142" i="54856"/>
  <c r="C180" i="54856"/>
  <c r="C181" i="54856"/>
  <c r="C187" i="54856"/>
  <c r="C190" i="54856"/>
  <c r="C193" i="54856"/>
  <c r="C201" i="54856"/>
  <c r="C42" i="54856"/>
  <c r="C44" i="54856"/>
  <c r="C46" i="54856"/>
  <c r="C48" i="54856"/>
  <c r="C50" i="54856"/>
  <c r="C52" i="54856"/>
  <c r="C54" i="54856"/>
  <c r="C56" i="54856"/>
  <c r="C58" i="54856"/>
  <c r="C60" i="54856"/>
  <c r="C62" i="54856"/>
  <c r="C64" i="54856"/>
  <c r="C66" i="54856"/>
  <c r="C68" i="54856"/>
  <c r="C70" i="54856"/>
  <c r="C72" i="54856"/>
  <c r="C74" i="54856"/>
  <c r="C76" i="54856"/>
  <c r="C79" i="54856"/>
  <c r="C88" i="54856"/>
  <c r="C96" i="54856"/>
  <c r="C99" i="54856"/>
  <c r="C106" i="54856"/>
  <c r="C109" i="54856"/>
  <c r="C112" i="54856"/>
  <c r="C115" i="54856"/>
  <c r="C124" i="54856"/>
  <c r="C130" i="54856"/>
  <c r="C137" i="54856"/>
  <c r="C143" i="54856"/>
  <c r="C146" i="54856"/>
  <c r="C155" i="54856"/>
  <c r="C158" i="54856"/>
  <c r="C161" i="54856"/>
  <c r="C167" i="54856"/>
  <c r="C169" i="54856"/>
  <c r="C172" i="54856"/>
  <c r="C175" i="54856"/>
  <c r="C178" i="54856"/>
  <c r="C196" i="54856"/>
  <c r="C199" i="54856"/>
  <c r="C80" i="54856"/>
  <c r="C89" i="54856"/>
  <c r="C92" i="54856"/>
  <c r="C94" i="54856"/>
  <c r="C101" i="54856"/>
  <c r="C127" i="54856"/>
  <c r="C135" i="54856"/>
  <c r="C147" i="54856"/>
  <c r="C149" i="54856"/>
  <c r="C153" i="54856"/>
  <c r="C156" i="54856"/>
  <c r="C159" i="54856"/>
  <c r="C173" i="54856"/>
  <c r="C185" i="54856"/>
  <c r="C191" i="54856"/>
  <c r="C194" i="54856"/>
  <c r="C197" i="54856"/>
  <c r="C81" i="54856"/>
  <c r="C93" i="54856"/>
  <c r="C95" i="54856"/>
  <c r="C107" i="54856"/>
  <c r="C110" i="54856"/>
  <c r="C113" i="54856"/>
  <c r="C116" i="54856"/>
  <c r="C122" i="54856"/>
  <c r="C125" i="54856"/>
  <c r="C133" i="54856"/>
  <c r="C136" i="54856"/>
  <c r="C138" i="54856"/>
  <c r="C141" i="54856"/>
  <c r="C144" i="54856"/>
  <c r="C162" i="54856"/>
  <c r="C165" i="54856"/>
  <c r="C168" i="54856"/>
  <c r="C170" i="54856"/>
  <c r="C171" i="54856"/>
  <c r="C182" i="54856"/>
  <c r="C43" i="54856"/>
  <c r="C45" i="54856"/>
  <c r="C47" i="54856"/>
  <c r="C49" i="54856"/>
  <c r="C51" i="54856"/>
  <c r="C53" i="54856"/>
  <c r="C55" i="54856"/>
  <c r="C57" i="54856"/>
  <c r="C59" i="54856"/>
  <c r="C61" i="54856"/>
  <c r="C63" i="54856"/>
  <c r="C65" i="54856"/>
  <c r="C67" i="54856"/>
  <c r="C69" i="54856"/>
  <c r="C71" i="54856"/>
  <c r="C73" i="54856"/>
  <c r="C75" i="54856"/>
  <c r="C77" i="54856"/>
  <c r="C78" i="54856"/>
  <c r="C84" i="54856"/>
  <c r="C87" i="54856"/>
  <c r="C90" i="54856"/>
  <c r="C97" i="54856"/>
  <c r="C104" i="54856"/>
  <c r="C119" i="54856"/>
  <c r="C128" i="54856"/>
  <c r="C131" i="54856"/>
  <c r="C154" i="54856"/>
  <c r="C157" i="54856"/>
  <c r="C160" i="54856"/>
  <c r="C177" i="54856"/>
  <c r="C179" i="54856"/>
  <c r="C188" i="54856"/>
  <c r="C26" i="54856"/>
  <c r="C209" i="54856"/>
  <c r="C218" i="54856"/>
  <c r="C224" i="54856"/>
  <c r="C227" i="54856"/>
  <c r="C229" i="54856"/>
  <c r="C231" i="54856"/>
  <c r="C238" i="54856"/>
  <c r="C239" i="54856"/>
  <c r="C240" i="54856"/>
  <c r="C249" i="54856"/>
  <c r="C258" i="54856"/>
  <c r="C269" i="54856"/>
  <c r="C271" i="54856"/>
  <c r="C280" i="54856"/>
  <c r="C282" i="54856"/>
  <c r="C28" i="54856"/>
  <c r="C150" i="54856"/>
  <c r="C211" i="54856"/>
  <c r="C216" i="54856"/>
  <c r="C251" i="54856"/>
  <c r="C256" i="54856"/>
  <c r="C262" i="54856"/>
  <c r="C267" i="54856"/>
  <c r="C273" i="54856"/>
  <c r="C300" i="54856"/>
  <c r="C304" i="54856"/>
  <c r="C309" i="54856"/>
  <c r="C30" i="54856"/>
  <c r="C83" i="54856"/>
  <c r="C223" i="54856"/>
  <c r="C236" i="54856"/>
  <c r="C245" i="54856"/>
  <c r="C247" i="54856"/>
  <c r="C260" i="54856"/>
  <c r="C276" i="54856"/>
  <c r="C283" i="54856"/>
  <c r="C289" i="54856"/>
  <c r="C302" i="54856"/>
  <c r="C311" i="54856"/>
  <c r="C32" i="54856"/>
  <c r="C204" i="54856"/>
  <c r="C225" i="54856"/>
  <c r="C234" i="54856"/>
  <c r="C242" i="54856"/>
  <c r="C244" i="54856"/>
  <c r="C250" i="54856"/>
  <c r="C252" i="54856"/>
  <c r="C263" i="54856"/>
  <c r="C265" i="54856"/>
  <c r="C272" i="54856"/>
  <c r="C279" i="54856"/>
  <c r="C281" i="54856"/>
  <c r="C285" i="54856"/>
  <c r="C287" i="54856"/>
  <c r="C290" i="54856"/>
  <c r="C294" i="54856"/>
  <c r="C296" i="54856"/>
  <c r="C307" i="54856"/>
  <c r="C18" i="54856"/>
  <c r="C34" i="54856"/>
  <c r="C103" i="54856"/>
  <c r="C118" i="54856"/>
  <c r="C164" i="54856"/>
  <c r="C184" i="54856"/>
  <c r="C200" i="54856"/>
  <c r="C215" i="54856"/>
  <c r="C217" i="54856"/>
  <c r="C221" i="54856"/>
  <c r="C232" i="54856"/>
  <c r="C248" i="54856"/>
  <c r="C257" i="54856"/>
  <c r="C261" i="54856"/>
  <c r="C274" i="54856"/>
  <c r="C278" i="54856"/>
  <c r="C288" i="54856"/>
  <c r="C292" i="54856"/>
  <c r="C301" i="54856"/>
  <c r="C315" i="54856"/>
  <c r="C20" i="54856"/>
  <c r="C36" i="54856"/>
  <c r="C219" i="54856"/>
  <c r="C228" i="54856"/>
  <c r="C246" i="54856"/>
  <c r="C254" i="54856"/>
  <c r="C255" i="54856"/>
  <c r="C259" i="54856"/>
  <c r="C266" i="54856"/>
  <c r="C268" i="54856"/>
  <c r="C286" i="54856"/>
  <c r="C299" i="54856"/>
  <c r="C303" i="54856"/>
  <c r="C308" i="54856"/>
  <c r="C312" i="54856"/>
  <c r="C317" i="54856"/>
  <c r="C22" i="54856"/>
  <c r="C38" i="54856"/>
  <c r="C86" i="54856"/>
  <c r="C198" i="54856"/>
  <c r="C202" i="54856"/>
  <c r="C210" i="54856"/>
  <c r="C212" i="54856"/>
  <c r="C213" i="54856"/>
  <c r="C214" i="54856"/>
  <c r="C222" i="54856"/>
  <c r="C230" i="54856"/>
  <c r="C243" i="54856"/>
  <c r="C253" i="54856"/>
  <c r="C270" i="54856"/>
  <c r="C275" i="54856"/>
  <c r="C277" i="54856"/>
  <c r="C284" i="54856"/>
  <c r="C291" i="54856"/>
  <c r="C295" i="54856"/>
  <c r="C297" i="54856"/>
  <c r="C305" i="54856"/>
  <c r="C316" i="54856"/>
  <c r="C24" i="54856"/>
  <c r="C40" i="54856"/>
  <c r="C206" i="54856"/>
  <c r="C207" i="54856"/>
  <c r="C208" i="54856"/>
  <c r="C220" i="54856"/>
  <c r="C226" i="54856"/>
  <c r="C233" i="54856"/>
  <c r="C235" i="54856"/>
  <c r="C237" i="54856"/>
  <c r="C241" i="54856"/>
  <c r="C264" i="54856"/>
  <c r="C293" i="54856"/>
  <c r="C310" i="54856"/>
  <c r="C306" i="54856"/>
  <c r="C298" i="54856"/>
  <c r="C314" i="54856"/>
  <c r="C313" i="54856"/>
  <c r="B24" i="101"/>
  <c r="D19" i="101"/>
  <c r="C19" i="101"/>
  <c r="K28" i="54839"/>
  <c r="K27" i="54839"/>
  <c r="K19" i="54839"/>
  <c r="K16" i="54839"/>
  <c r="K26" i="54839"/>
  <c r="K17" i="54839"/>
  <c r="K30" i="54839"/>
  <c r="J31" i="54839"/>
  <c r="R7" i="54839"/>
  <c r="P8" i="54839"/>
  <c r="N10" i="54839"/>
  <c r="N9" i="54839"/>
  <c r="M29" i="54839"/>
  <c r="M27" i="54839"/>
  <c r="M28" i="54839"/>
  <c r="M18" i="54839"/>
  <c r="M16" i="54839"/>
  <c r="M21" i="54839"/>
  <c r="M22" i="54839"/>
  <c r="M17" i="54839"/>
  <c r="M26" i="54839"/>
  <c r="M19" i="54839"/>
  <c r="L24" i="54839"/>
  <c r="L30" i="54839"/>
  <c r="L32" i="54839"/>
  <c r="M25" i="54839"/>
  <c r="M20" i="54839"/>
  <c r="J32" i="54839"/>
  <c r="I14" i="54832"/>
  <c r="C14" i="54832"/>
  <c r="X14" i="54832"/>
  <c r="U14" i="54832"/>
  <c r="K10" i="16"/>
  <c r="K11" i="16"/>
  <c r="F14" i="54832"/>
  <c r="L14" i="54832"/>
  <c r="R14" i="54832"/>
  <c r="E18" i="16"/>
  <c r="O14" i="54832"/>
  <c r="D9" i="54856"/>
  <c r="F18" i="54856"/>
  <c r="E18" i="54856"/>
  <c r="B25" i="101"/>
  <c r="E19" i="101"/>
  <c r="F19" i="101"/>
  <c r="N11" i="54839"/>
  <c r="N13" i="54839"/>
  <c r="O29" i="54839"/>
  <c r="O16" i="54839"/>
  <c r="J56" i="54839"/>
  <c r="J55" i="54839"/>
  <c r="J57" i="54839"/>
  <c r="L55" i="54839"/>
  <c r="L56" i="54839"/>
  <c r="L57" i="54839"/>
  <c r="P9" i="54839"/>
  <c r="P11" i="54839"/>
  <c r="P13" i="54839"/>
  <c r="P10" i="54839"/>
  <c r="M30" i="54839"/>
  <c r="L31" i="54839"/>
  <c r="T7" i="54839"/>
  <c r="R8" i="54839"/>
  <c r="K13" i="16"/>
  <c r="K14" i="16"/>
  <c r="D21" i="16"/>
  <c r="F15" i="54832"/>
  <c r="F56" i="54832"/>
  <c r="F16" i="54832"/>
  <c r="U15" i="54832"/>
  <c r="U56" i="54832"/>
  <c r="U16" i="54832"/>
  <c r="X16" i="54832"/>
  <c r="X15" i="54832"/>
  <c r="X56" i="54832"/>
  <c r="O15" i="54832"/>
  <c r="O56" i="54832"/>
  <c r="O16" i="54832"/>
  <c r="C15" i="54832"/>
  <c r="C56" i="54832"/>
  <c r="C16" i="54832"/>
  <c r="L15" i="54832"/>
  <c r="L56" i="54832"/>
  <c r="L16" i="54832"/>
  <c r="I16" i="54832"/>
  <c r="I15" i="54832"/>
  <c r="I56" i="54832"/>
  <c r="R16" i="54832"/>
  <c r="R15" i="54832"/>
  <c r="R56" i="54832"/>
  <c r="G18" i="54856"/>
  <c r="H18" i="54856"/>
  <c r="G19" i="101"/>
  <c r="H19" i="101"/>
  <c r="B26" i="101"/>
  <c r="O21" i="54839"/>
  <c r="O18" i="54839"/>
  <c r="O17" i="54839"/>
  <c r="O26" i="54839"/>
  <c r="N24" i="54839"/>
  <c r="N30" i="54839"/>
  <c r="N32" i="54839"/>
  <c r="N57" i="54839"/>
  <c r="O19" i="54839"/>
  <c r="O27" i="54839"/>
  <c r="O25" i="54839"/>
  <c r="O20" i="54839"/>
  <c r="O28" i="54839"/>
  <c r="O22" i="54839"/>
  <c r="Q18" i="54839"/>
  <c r="Q22" i="54839"/>
  <c r="Q17" i="54839"/>
  <c r="Q27" i="54839"/>
  <c r="Q20" i="54839"/>
  <c r="P24" i="54839"/>
  <c r="P30" i="54839"/>
  <c r="P32" i="54839"/>
  <c r="Q26" i="54839"/>
  <c r="Q19" i="54839"/>
  <c r="Q25" i="54839"/>
  <c r="Q21" i="54839"/>
  <c r="Q29" i="54839"/>
  <c r="Q28" i="54839"/>
  <c r="Q16" i="54839"/>
  <c r="R9" i="54839"/>
  <c r="R10" i="54839"/>
  <c r="T8" i="54839"/>
  <c r="V7" i="54839"/>
  <c r="V8" i="54839"/>
  <c r="C6" i="54843"/>
  <c r="C6" i="54841"/>
  <c r="D19" i="54856"/>
  <c r="D20" i="101"/>
  <c r="C20" i="101"/>
  <c r="B27" i="101"/>
  <c r="N31" i="54839"/>
  <c r="O30" i="54839"/>
  <c r="R11" i="54839"/>
  <c r="R13" i="54839"/>
  <c r="S19" i="54839"/>
  <c r="N55" i="54839"/>
  <c r="N56" i="54839"/>
  <c r="S21" i="54839"/>
  <c r="S16" i="54839"/>
  <c r="S20" i="54839"/>
  <c r="S29" i="54839"/>
  <c r="P55" i="54839"/>
  <c r="P56" i="54839"/>
  <c r="P57" i="54839"/>
  <c r="V9" i="54839"/>
  <c r="V10" i="54839"/>
  <c r="T10" i="54839"/>
  <c r="T9" i="54839"/>
  <c r="Q30" i="54839"/>
  <c r="P31" i="54839"/>
  <c r="C57" i="54843"/>
  <c r="C74" i="54843"/>
  <c r="D50" i="54839"/>
  <c r="D43" i="54839"/>
  <c r="C13" i="54843"/>
  <c r="C17" i="54841"/>
  <c r="C23" i="54841"/>
  <c r="F6" i="54841"/>
  <c r="E19" i="54856"/>
  <c r="F19" i="54856"/>
  <c r="B28" i="101"/>
  <c r="F20" i="101"/>
  <c r="E20" i="101"/>
  <c r="S27" i="54839"/>
  <c r="V11" i="54839"/>
  <c r="V13" i="54839"/>
  <c r="S22" i="54839"/>
  <c r="S28" i="54839"/>
  <c r="S18" i="54839"/>
  <c r="R24" i="54839"/>
  <c r="R30" i="54839"/>
  <c r="S30" i="54839"/>
  <c r="S17" i="54839"/>
  <c r="S26" i="54839"/>
  <c r="T11" i="54839"/>
  <c r="T13" i="54839"/>
  <c r="S25" i="54839"/>
  <c r="W28" i="54839"/>
  <c r="W25" i="54839"/>
  <c r="W27" i="54839"/>
  <c r="W18" i="54839"/>
  <c r="W17" i="54839"/>
  <c r="V24" i="54839"/>
  <c r="V30" i="54839"/>
  <c r="V32" i="54839"/>
  <c r="W20" i="54839"/>
  <c r="W19" i="54839"/>
  <c r="W29" i="54839"/>
  <c r="W22" i="54839"/>
  <c r="W21" i="54839"/>
  <c r="W26" i="54839"/>
  <c r="W16" i="54839"/>
  <c r="T24" i="54839"/>
  <c r="T30" i="54839"/>
  <c r="U18" i="54839"/>
  <c r="U22" i="54839"/>
  <c r="U21" i="54839"/>
  <c r="U25" i="54839"/>
  <c r="U19" i="54839"/>
  <c r="U29" i="54839"/>
  <c r="U28" i="54839"/>
  <c r="U16" i="54839"/>
  <c r="U26" i="54839"/>
  <c r="U20" i="54839"/>
  <c r="U27" i="54839"/>
  <c r="U17" i="54839"/>
  <c r="R32" i="54839"/>
  <c r="D6" i="54843"/>
  <c r="C64" i="54843"/>
  <c r="F23" i="54841"/>
  <c r="C34" i="54841"/>
  <c r="G19" i="54856"/>
  <c r="H19" i="54856"/>
  <c r="B29" i="101"/>
  <c r="G20" i="101"/>
  <c r="H20" i="101"/>
  <c r="R31" i="54839"/>
  <c r="V55" i="54839"/>
  <c r="V56" i="54839"/>
  <c r="H9" i="54840"/>
  <c r="H11" i="54840"/>
  <c r="H12" i="54840"/>
  <c r="V57" i="54839"/>
  <c r="T31" i="54839"/>
  <c r="U30" i="54839"/>
  <c r="R55" i="54839"/>
  <c r="R56" i="54839"/>
  <c r="R57" i="54839"/>
  <c r="W30" i="54839"/>
  <c r="V31" i="54839"/>
  <c r="T32" i="54839"/>
  <c r="F50" i="54839"/>
  <c r="D57" i="54843"/>
  <c r="D74" i="54843"/>
  <c r="D20" i="54856"/>
  <c r="D21" i="101"/>
  <c r="C21" i="101"/>
  <c r="B30" i="101"/>
  <c r="T56" i="54839"/>
  <c r="T57" i="54839"/>
  <c r="T55" i="54839"/>
  <c r="F20" i="54856"/>
  <c r="E20" i="54856"/>
  <c r="B31" i="101"/>
  <c r="F21" i="101"/>
  <c r="E21" i="101"/>
  <c r="G20" i="54856"/>
  <c r="H20" i="54856"/>
  <c r="G21" i="101"/>
  <c r="H21" i="101"/>
  <c r="B32" i="101"/>
  <c r="D21" i="54856"/>
  <c r="B33" i="101"/>
  <c r="D22" i="101"/>
  <c r="C22" i="101"/>
  <c r="F21" i="54856"/>
  <c r="E21" i="54856"/>
  <c r="F22" i="101"/>
  <c r="E22" i="101"/>
  <c r="B34" i="101"/>
  <c r="G21" i="54856"/>
  <c r="H21" i="54856"/>
  <c r="B35" i="101"/>
  <c r="G22" i="101"/>
  <c r="H22" i="101"/>
  <c r="D22" i="54856"/>
  <c r="D23" i="101"/>
  <c r="C23" i="101"/>
  <c r="B36" i="101"/>
  <c r="F22" i="54856"/>
  <c r="E22" i="54856"/>
  <c r="B37" i="101"/>
  <c r="F23" i="101"/>
  <c r="E23" i="101"/>
  <c r="G22" i="54856"/>
  <c r="H22" i="54856"/>
  <c r="G23" i="101"/>
  <c r="H23" i="101"/>
  <c r="B38" i="101"/>
  <c r="D23" i="54856"/>
  <c r="D24" i="101"/>
  <c r="C24" i="101"/>
  <c r="B39" i="101"/>
  <c r="F23" i="54856"/>
  <c r="E23" i="54856"/>
  <c r="B40" i="101"/>
  <c r="F24" i="101"/>
  <c r="E24" i="101"/>
  <c r="G23" i="54856"/>
  <c r="H23" i="54856"/>
  <c r="G24" i="101"/>
  <c r="H24" i="101"/>
  <c r="B41" i="101"/>
  <c r="D24" i="54856"/>
  <c r="D25" i="101"/>
  <c r="C25" i="101"/>
  <c r="B42" i="101"/>
  <c r="F24" i="54856"/>
  <c r="E24" i="54856"/>
  <c r="F25" i="101"/>
  <c r="E25" i="101"/>
  <c r="B43" i="101"/>
  <c r="G24" i="54856"/>
  <c r="H24" i="54856"/>
  <c r="B44" i="101"/>
  <c r="G25" i="101"/>
  <c r="H25" i="101"/>
  <c r="D25" i="54856"/>
  <c r="D26" i="101"/>
  <c r="C26" i="101"/>
  <c r="B45" i="101"/>
  <c r="F25" i="54856"/>
  <c r="E25" i="54856"/>
  <c r="B46" i="101"/>
  <c r="F26" i="101"/>
  <c r="E26" i="101"/>
  <c r="G25" i="54856"/>
  <c r="H25" i="54856"/>
  <c r="B47" i="101"/>
  <c r="G26" i="101"/>
  <c r="H26" i="101"/>
  <c r="D26" i="54856"/>
  <c r="D27" i="101"/>
  <c r="C27" i="101"/>
  <c r="B48" i="101"/>
  <c r="F26" i="54856"/>
  <c r="E26" i="54856"/>
  <c r="B49" i="101"/>
  <c r="F27" i="101"/>
  <c r="E27" i="101"/>
  <c r="G26" i="54856"/>
  <c r="H26" i="54856"/>
  <c r="B50" i="101"/>
  <c r="G27" i="101"/>
  <c r="H27" i="101"/>
  <c r="D27" i="54856"/>
  <c r="B51" i="101"/>
  <c r="D28" i="101"/>
  <c r="C28" i="101"/>
  <c r="F27" i="54856"/>
  <c r="E27" i="54856"/>
  <c r="F28" i="101"/>
  <c r="E28" i="101"/>
  <c r="B52" i="101"/>
  <c r="G27" i="54856"/>
  <c r="H27" i="54856"/>
  <c r="B53" i="101"/>
  <c r="G28" i="101"/>
  <c r="H28" i="101"/>
  <c r="D28" i="54856"/>
  <c r="B54" i="101"/>
  <c r="D29" i="101"/>
  <c r="C29" i="101"/>
  <c r="D9" i="101"/>
  <c r="F28" i="54856"/>
  <c r="E28" i="54856"/>
  <c r="F29" i="101"/>
  <c r="E29" i="101"/>
  <c r="C13" i="101"/>
  <c r="C8" i="54848"/>
  <c r="C28" i="54848"/>
  <c r="C54" i="101"/>
  <c r="B55" i="101"/>
  <c r="G28" i="54856"/>
  <c r="H28" i="54856"/>
  <c r="C29" i="54848"/>
  <c r="D36" i="54839"/>
  <c r="C55" i="101"/>
  <c r="B56" i="101"/>
  <c r="G29" i="101"/>
  <c r="C12" i="101"/>
  <c r="H29" i="101"/>
  <c r="D29" i="54856"/>
  <c r="C56" i="101"/>
  <c r="B57" i="101"/>
  <c r="C14" i="101"/>
  <c r="C10" i="54848"/>
  <c r="D30" i="101"/>
  <c r="C30" i="101"/>
  <c r="C7" i="54848"/>
  <c r="F29" i="54856"/>
  <c r="E29" i="54856"/>
  <c r="C13" i="54856"/>
  <c r="E22" i="54848"/>
  <c r="D6" i="54848"/>
  <c r="D27" i="54848"/>
  <c r="C33" i="54848"/>
  <c r="C30" i="54848"/>
  <c r="C9" i="54848"/>
  <c r="C32" i="54848"/>
  <c r="B58" i="101"/>
  <c r="C57" i="101"/>
  <c r="F30" i="101"/>
  <c r="E30" i="101"/>
  <c r="G29" i="54856"/>
  <c r="C12" i="54856"/>
  <c r="E21" i="54848"/>
  <c r="E23" i="54848"/>
  <c r="H29" i="54856"/>
  <c r="C58" i="101"/>
  <c r="B59" i="101"/>
  <c r="G30" i="101"/>
  <c r="H30" i="101"/>
  <c r="C31" i="54848"/>
  <c r="D35" i="54839"/>
  <c r="D37" i="54839"/>
  <c r="C14" i="54856"/>
  <c r="E24" i="54848"/>
  <c r="F20" i="54848"/>
  <c r="D30" i="54856"/>
  <c r="B60" i="101"/>
  <c r="C59" i="101"/>
  <c r="D39" i="54839"/>
  <c r="D33" i="16"/>
  <c r="D34" i="16"/>
  <c r="D59" i="54839"/>
  <c r="D38" i="16"/>
  <c r="D4" i="54858"/>
  <c r="D31" i="101"/>
  <c r="C31" i="101"/>
  <c r="F30" i="54856"/>
  <c r="E30" i="54856"/>
  <c r="E14" i="54858"/>
  <c r="E10" i="54858"/>
  <c r="G20" i="16"/>
  <c r="E11" i="54858"/>
  <c r="E12" i="54858"/>
  <c r="E4" i="54858"/>
  <c r="G38" i="16"/>
  <c r="E13" i="54858"/>
  <c r="C60" i="101"/>
  <c r="B61" i="101"/>
  <c r="F31" i="101"/>
  <c r="E31" i="101"/>
  <c r="D42" i="54839"/>
  <c r="D45" i="54839"/>
  <c r="D44" i="54839"/>
  <c r="F43" i="54839"/>
  <c r="C58" i="54843"/>
  <c r="G30" i="54856"/>
  <c r="H30" i="54856"/>
  <c r="D46" i="54839"/>
  <c r="D48" i="54839"/>
  <c r="D47" i="54839"/>
  <c r="D24" i="54841"/>
  <c r="F24" i="54841"/>
  <c r="C65" i="54843"/>
  <c r="C62" i="54843"/>
  <c r="C59" i="54843"/>
  <c r="C60" i="54843"/>
  <c r="C61" i="101"/>
  <c r="B62" i="101"/>
  <c r="G31" i="101"/>
  <c r="H31" i="101"/>
  <c r="D31" i="54856"/>
  <c r="D32" i="101"/>
  <c r="C32" i="101"/>
  <c r="C62" i="101"/>
  <c r="B63" i="101"/>
  <c r="D52" i="54839"/>
  <c r="C8" i="54843"/>
  <c r="C22" i="54843"/>
  <c r="C28" i="54843"/>
  <c r="D46" i="16"/>
  <c r="D47" i="16"/>
  <c r="C23" i="54843"/>
  <c r="C7" i="54843"/>
  <c r="D7" i="54841"/>
  <c r="F7" i="54841"/>
  <c r="C25" i="54843"/>
  <c r="F31" i="54856"/>
  <c r="E31" i="54856"/>
  <c r="B64" i="101"/>
  <c r="C63" i="101"/>
  <c r="C11" i="54843"/>
  <c r="C14" i="54843"/>
  <c r="C75" i="54843"/>
  <c r="C9" i="54843"/>
  <c r="D53" i="54839"/>
  <c r="C76" i="54843"/>
  <c r="C29" i="54843"/>
  <c r="C30" i="54843"/>
  <c r="C35" i="54843"/>
  <c r="C41" i="54843"/>
  <c r="C42" i="54843"/>
  <c r="C47" i="54843"/>
  <c r="F32" i="101"/>
  <c r="E32" i="101"/>
  <c r="G31" i="54856"/>
  <c r="H31" i="54856"/>
  <c r="C32" i="54843"/>
  <c r="C51" i="54843"/>
  <c r="C52" i="54843"/>
  <c r="C49" i="54843"/>
  <c r="C77" i="54843"/>
  <c r="C45" i="54843"/>
  <c r="C43" i="54843"/>
  <c r="C46" i="54843"/>
  <c r="C48" i="54843"/>
  <c r="C36" i="54843"/>
  <c r="C40" i="54843"/>
  <c r="C39" i="54843"/>
  <c r="C37" i="54843"/>
  <c r="C33" i="54843"/>
  <c r="C31" i="54843"/>
  <c r="C34" i="54843"/>
  <c r="C50" i="54843"/>
  <c r="C38" i="54843"/>
  <c r="G32" i="101"/>
  <c r="H32" i="101"/>
  <c r="C82" i="54843"/>
  <c r="C79" i="54843"/>
  <c r="C44" i="54843"/>
  <c r="C64" i="101"/>
  <c r="B65" i="101"/>
  <c r="D32" i="54856"/>
  <c r="B66" i="101"/>
  <c r="C65" i="101"/>
  <c r="D33" i="101"/>
  <c r="C33" i="101"/>
  <c r="F32" i="54856"/>
  <c r="E32" i="54856"/>
  <c r="F33" i="101"/>
  <c r="E33" i="101"/>
  <c r="C66" i="101"/>
  <c r="B67" i="101"/>
  <c r="G32" i="54856"/>
  <c r="H32" i="54856"/>
  <c r="C67" i="101"/>
  <c r="B68" i="101"/>
  <c r="G33" i="101"/>
  <c r="H33" i="101"/>
  <c r="D33" i="54856"/>
  <c r="C68" i="101"/>
  <c r="B69" i="101"/>
  <c r="D34" i="101"/>
  <c r="C34" i="101"/>
  <c r="F33" i="54856"/>
  <c r="E33" i="54856"/>
  <c r="C69" i="101"/>
  <c r="B70" i="101"/>
  <c r="F34" i="101"/>
  <c r="E34" i="101"/>
  <c r="G33" i="54856"/>
  <c r="H33" i="54856"/>
  <c r="G34" i="101"/>
  <c r="H34" i="101"/>
  <c r="B71" i="101"/>
  <c r="C70" i="101"/>
  <c r="D34" i="54856"/>
  <c r="B72" i="101"/>
  <c r="C71" i="101"/>
  <c r="D35" i="101"/>
  <c r="C35" i="101"/>
  <c r="F34" i="54856"/>
  <c r="E34" i="54856"/>
  <c r="C72" i="101"/>
  <c r="B73" i="101"/>
  <c r="F35" i="101"/>
  <c r="E35" i="101"/>
  <c r="G34" i="54856"/>
  <c r="H34" i="54856"/>
  <c r="B74" i="101"/>
  <c r="C73" i="101"/>
  <c r="G35" i="101"/>
  <c r="H35" i="101"/>
  <c r="D35" i="54856"/>
  <c r="D36" i="101"/>
  <c r="C36" i="101"/>
  <c r="C74" i="101"/>
  <c r="B75" i="101"/>
  <c r="F35" i="54856"/>
  <c r="E35" i="54856"/>
  <c r="B76" i="101"/>
  <c r="C75" i="101"/>
  <c r="F36" i="101"/>
  <c r="E36" i="101"/>
  <c r="G35" i="54856"/>
  <c r="H35" i="54856"/>
  <c r="G36" i="101"/>
  <c r="H36" i="101"/>
  <c r="C76" i="101"/>
  <c r="B77" i="101"/>
  <c r="D36" i="54856"/>
  <c r="D37" i="101"/>
  <c r="C37" i="101"/>
  <c r="B78" i="101"/>
  <c r="C77" i="101"/>
  <c r="F36" i="54856"/>
  <c r="E36" i="54856"/>
  <c r="F37" i="101"/>
  <c r="E37" i="101"/>
  <c r="C78" i="101"/>
  <c r="B79" i="101"/>
  <c r="G36" i="54856"/>
  <c r="H36" i="54856"/>
  <c r="G37" i="101"/>
  <c r="H37" i="101"/>
  <c r="B80" i="101"/>
  <c r="C79" i="101"/>
  <c r="D37" i="54856"/>
  <c r="C80" i="101"/>
  <c r="B81" i="101"/>
  <c r="D38" i="101"/>
  <c r="C38" i="101"/>
  <c r="F37" i="54856"/>
  <c r="E37" i="54856"/>
  <c r="B82" i="101"/>
  <c r="C81" i="101"/>
  <c r="F38" i="101"/>
  <c r="E38" i="101"/>
  <c r="G37" i="54856"/>
  <c r="H37" i="54856"/>
  <c r="G38" i="101"/>
  <c r="H38" i="101"/>
  <c r="C82" i="101"/>
  <c r="B83" i="101"/>
  <c r="D38" i="54856"/>
  <c r="D39" i="101"/>
  <c r="C39" i="101"/>
  <c r="B84" i="101"/>
  <c r="C83" i="101"/>
  <c r="F38" i="54856"/>
  <c r="E38" i="54856"/>
  <c r="F39" i="101"/>
  <c r="E39" i="101"/>
  <c r="C84" i="101"/>
  <c r="B85" i="101"/>
  <c r="G38" i="54856"/>
  <c r="H38" i="54856"/>
  <c r="G39" i="101"/>
  <c r="H39" i="101"/>
  <c r="B86" i="101"/>
  <c r="C85" i="101"/>
  <c r="D39" i="54856"/>
  <c r="B87" i="101"/>
  <c r="C86" i="101"/>
  <c r="D40" i="101"/>
  <c r="C40" i="101"/>
  <c r="F39" i="54856"/>
  <c r="E39" i="54856"/>
  <c r="F40" i="101"/>
  <c r="E40" i="101"/>
  <c r="B88" i="101"/>
  <c r="C87" i="101"/>
  <c r="G39" i="54856"/>
  <c r="H39" i="54856"/>
  <c r="B89" i="101"/>
  <c r="C88" i="101"/>
  <c r="G40" i="101"/>
  <c r="H40" i="101"/>
  <c r="D40" i="54856"/>
  <c r="D41" i="101"/>
  <c r="C41" i="101"/>
  <c r="B90" i="101"/>
  <c r="C89" i="101"/>
  <c r="F40" i="54856"/>
  <c r="E40" i="54856"/>
  <c r="F41" i="101"/>
  <c r="E41" i="101"/>
  <c r="D13" i="101"/>
  <c r="D8" i="54848"/>
  <c r="D28" i="54848"/>
  <c r="B91" i="101"/>
  <c r="C90" i="101"/>
  <c r="G40" i="54856"/>
  <c r="H40" i="54856"/>
  <c r="B92" i="101"/>
  <c r="C91" i="101"/>
  <c r="F36" i="54839"/>
  <c r="D29" i="54848"/>
  <c r="G41" i="101"/>
  <c r="D12" i="101"/>
  <c r="D7" i="54848"/>
  <c r="H41" i="101"/>
  <c r="D41" i="54856"/>
  <c r="D30" i="54848"/>
  <c r="D9" i="54848"/>
  <c r="D32" i="54848"/>
  <c r="D14" i="101"/>
  <c r="D10" i="54848"/>
  <c r="D42" i="101"/>
  <c r="C42" i="101"/>
  <c r="B93" i="101"/>
  <c r="C92" i="101"/>
  <c r="F41" i="54856"/>
  <c r="E41" i="54856"/>
  <c r="D13" i="54856"/>
  <c r="F22" i="54848"/>
  <c r="B94" i="101"/>
  <c r="C93" i="101"/>
  <c r="E6" i="54848"/>
  <c r="E27" i="54848"/>
  <c r="D33" i="54848"/>
  <c r="D31" i="54848"/>
  <c r="F35" i="54839"/>
  <c r="F37" i="54839"/>
  <c r="F42" i="101"/>
  <c r="E42" i="101"/>
  <c r="G41" i="54856"/>
  <c r="D12" i="54856"/>
  <c r="F21" i="54848"/>
  <c r="F23" i="54848"/>
  <c r="H41" i="54856"/>
  <c r="G42" i="101"/>
  <c r="H42" i="101"/>
  <c r="F39" i="54839"/>
  <c r="F59" i="54839"/>
  <c r="B95" i="101"/>
  <c r="C94" i="101"/>
  <c r="D14" i="54856"/>
  <c r="F24" i="54848"/>
  <c r="G20" i="54848"/>
  <c r="D42" i="54856"/>
  <c r="D43" i="101"/>
  <c r="C43" i="101"/>
  <c r="F42" i="54839"/>
  <c r="F45" i="54839"/>
  <c r="D58" i="54843"/>
  <c r="B96" i="101"/>
  <c r="C95" i="101"/>
  <c r="F42" i="54856"/>
  <c r="E42" i="54856"/>
  <c r="F46" i="54839"/>
  <c r="F48" i="54839"/>
  <c r="D8" i="54841"/>
  <c r="F44" i="54839"/>
  <c r="F47" i="54839"/>
  <c r="D25" i="54841"/>
  <c r="D59" i="54843"/>
  <c r="D60" i="54843"/>
  <c r="F43" i="101"/>
  <c r="E43" i="101"/>
  <c r="B97" i="101"/>
  <c r="C96" i="101"/>
  <c r="G42" i="54856"/>
  <c r="H42" i="54856"/>
  <c r="F52" i="54839"/>
  <c r="D8" i="54843"/>
  <c r="D76" i="54843"/>
  <c r="D7" i="54843"/>
  <c r="D75" i="54843"/>
  <c r="D22" i="54843"/>
  <c r="D25" i="54843"/>
  <c r="D23" i="54843"/>
  <c r="G43" i="101"/>
  <c r="H43" i="101"/>
  <c r="B98" i="101"/>
  <c r="C97" i="101"/>
  <c r="D43" i="54856"/>
  <c r="D9" i="54843"/>
  <c r="H53" i="54839"/>
  <c r="D44" i="101"/>
  <c r="C44" i="101"/>
  <c r="B99" i="101"/>
  <c r="C98" i="101"/>
  <c r="D77" i="54843"/>
  <c r="F43" i="54856"/>
  <c r="E43" i="54856"/>
  <c r="B100" i="101"/>
  <c r="C99" i="101"/>
  <c r="F44" i="101"/>
  <c r="E44" i="101"/>
  <c r="G43" i="54856"/>
  <c r="H43" i="54856"/>
  <c r="B101" i="101"/>
  <c r="C100" i="101"/>
  <c r="G44" i="101"/>
  <c r="H44" i="101"/>
  <c r="D44" i="54856"/>
  <c r="D45" i="101"/>
  <c r="C45" i="101"/>
  <c r="B102" i="101"/>
  <c r="C101" i="101"/>
  <c r="F44" i="54856"/>
  <c r="E44" i="54856"/>
  <c r="B103" i="101"/>
  <c r="C102" i="101"/>
  <c r="F45" i="101"/>
  <c r="E45" i="101"/>
  <c r="G44" i="54856"/>
  <c r="H44" i="54856"/>
  <c r="G45" i="101"/>
  <c r="H45" i="101"/>
  <c r="B104" i="101"/>
  <c r="C103" i="101"/>
  <c r="D45" i="54856"/>
  <c r="D46" i="101"/>
  <c r="C46" i="101"/>
  <c r="B105" i="101"/>
  <c r="C104" i="101"/>
  <c r="F45" i="54856"/>
  <c r="E45" i="54856"/>
  <c r="F46" i="101"/>
  <c r="E46" i="101"/>
  <c r="B106" i="101"/>
  <c r="C105" i="101"/>
  <c r="G45" i="54856"/>
  <c r="H45" i="54856"/>
  <c r="B107" i="101"/>
  <c r="C106" i="101"/>
  <c r="G46" i="101"/>
  <c r="H46" i="101"/>
  <c r="D46" i="54856"/>
  <c r="D47" i="101"/>
  <c r="C47" i="101"/>
  <c r="B108" i="101"/>
  <c r="C107" i="101"/>
  <c r="F46" i="54856"/>
  <c r="E46" i="54856"/>
  <c r="B109" i="101"/>
  <c r="C108" i="101"/>
  <c r="F47" i="101"/>
  <c r="E47" i="101"/>
  <c r="G46" i="54856"/>
  <c r="H46" i="54856"/>
  <c r="B110" i="101"/>
  <c r="C109" i="101"/>
  <c r="G47" i="101"/>
  <c r="H47" i="101"/>
  <c r="D47" i="54856"/>
  <c r="D48" i="101"/>
  <c r="C48" i="101"/>
  <c r="B111" i="101"/>
  <c r="C110" i="101"/>
  <c r="F47" i="54856"/>
  <c r="E47" i="54856"/>
  <c r="B112" i="101"/>
  <c r="C111" i="101"/>
  <c r="F48" i="101"/>
  <c r="E48" i="101"/>
  <c r="G47" i="54856"/>
  <c r="H47" i="54856"/>
  <c r="B113" i="101"/>
  <c r="C112" i="101"/>
  <c r="G48" i="101"/>
  <c r="H48" i="101"/>
  <c r="D48" i="54856"/>
  <c r="D49" i="101"/>
  <c r="C49" i="101"/>
  <c r="B114" i="101"/>
  <c r="C113" i="101"/>
  <c r="F48" i="54856"/>
  <c r="E48" i="54856"/>
  <c r="B115" i="101"/>
  <c r="C114" i="101"/>
  <c r="F49" i="101"/>
  <c r="E49" i="101"/>
  <c r="G48" i="54856"/>
  <c r="H48" i="54856"/>
  <c r="B116" i="101"/>
  <c r="C115" i="101"/>
  <c r="G49" i="101"/>
  <c r="H49" i="101"/>
  <c r="D49" i="54856"/>
  <c r="B117" i="101"/>
  <c r="C116" i="101"/>
  <c r="D50" i="101"/>
  <c r="C50" i="101"/>
  <c r="F49" i="54856"/>
  <c r="E49" i="54856"/>
  <c r="F50" i="101"/>
  <c r="E50" i="101"/>
  <c r="B118" i="101"/>
  <c r="C117" i="101"/>
  <c r="G49" i="54856"/>
  <c r="H49" i="54856"/>
  <c r="B119" i="101"/>
  <c r="C118" i="101"/>
  <c r="G50" i="101"/>
  <c r="H50" i="101"/>
  <c r="D50" i="54856"/>
  <c r="D51" i="101"/>
  <c r="C51" i="101"/>
  <c r="B120" i="101"/>
  <c r="C119" i="101"/>
  <c r="F50" i="54856"/>
  <c r="E50" i="54856"/>
  <c r="B121" i="101"/>
  <c r="C120" i="101"/>
  <c r="F51" i="101"/>
  <c r="E51" i="101"/>
  <c r="G50" i="54856"/>
  <c r="H50" i="54856"/>
  <c r="G51" i="101"/>
  <c r="H51" i="101"/>
  <c r="B122" i="101"/>
  <c r="C121" i="101"/>
  <c r="D51" i="54856"/>
  <c r="D52" i="101"/>
  <c r="C52" i="101"/>
  <c r="B123" i="101"/>
  <c r="C122" i="101"/>
  <c r="F51" i="54856"/>
  <c r="E51" i="54856"/>
  <c r="B124" i="101"/>
  <c r="C123" i="101"/>
  <c r="F52" i="101"/>
  <c r="E52" i="101"/>
  <c r="G51" i="54856"/>
  <c r="H51" i="54856"/>
  <c r="B125" i="101"/>
  <c r="C124" i="101"/>
  <c r="G52" i="101"/>
  <c r="H52" i="101"/>
  <c r="D52" i="54856"/>
  <c r="B126" i="101"/>
  <c r="C125" i="101"/>
  <c r="D53" i="101"/>
  <c r="C53" i="101"/>
  <c r="F52" i="54856"/>
  <c r="E52" i="54856"/>
  <c r="B127" i="101"/>
  <c r="C126" i="101"/>
  <c r="F53" i="101"/>
  <c r="E53" i="101"/>
  <c r="E13" i="101"/>
  <c r="E8" i="54848"/>
  <c r="E28" i="54848"/>
  <c r="G52" i="54856"/>
  <c r="H52" i="54856"/>
  <c r="G53" i="101"/>
  <c r="E12" i="101"/>
  <c r="E7" i="54848"/>
  <c r="H53" i="101"/>
  <c r="E29" i="54848"/>
  <c r="H36" i="54839"/>
  <c r="B128" i="101"/>
  <c r="C127" i="101"/>
  <c r="D53" i="54856"/>
  <c r="E14" i="101"/>
  <c r="E10" i="54848"/>
  <c r="D54" i="101"/>
  <c r="E30" i="54848"/>
  <c r="E9" i="54848"/>
  <c r="E32" i="54848"/>
  <c r="B129" i="101"/>
  <c r="C128" i="101"/>
  <c r="F53" i="54856"/>
  <c r="E53" i="54856"/>
  <c r="E13" i="54856"/>
  <c r="G22" i="54848"/>
  <c r="F54" i="101"/>
  <c r="E54" i="101"/>
  <c r="B130" i="101"/>
  <c r="C129" i="101"/>
  <c r="H35" i="54839"/>
  <c r="H37" i="54839"/>
  <c r="E31" i="54848"/>
  <c r="E33" i="54848"/>
  <c r="F6" i="54848"/>
  <c r="F27" i="54848"/>
  <c r="G53" i="54856"/>
  <c r="E12" i="54856"/>
  <c r="G21" i="54848"/>
  <c r="G23" i="54848"/>
  <c r="H53" i="54856"/>
  <c r="H59" i="54839"/>
  <c r="H39" i="54839"/>
  <c r="B131" i="101"/>
  <c r="C130" i="101"/>
  <c r="G54" i="101"/>
  <c r="H54" i="101"/>
  <c r="D54" i="54856"/>
  <c r="E14" i="54856"/>
  <c r="G24" i="54848"/>
  <c r="H20" i="54848"/>
  <c r="D55" i="101"/>
  <c r="B132" i="101"/>
  <c r="C131" i="101"/>
  <c r="E58" i="54843"/>
  <c r="H42" i="54839"/>
  <c r="F54" i="54856"/>
  <c r="E54" i="54856"/>
  <c r="B133" i="101"/>
  <c r="C132" i="101"/>
  <c r="D26" i="54841"/>
  <c r="F55" i="101"/>
  <c r="E55" i="101"/>
  <c r="G54" i="54856"/>
  <c r="H54" i="54856"/>
  <c r="G55" i="101"/>
  <c r="H55" i="101"/>
  <c r="B134" i="101"/>
  <c r="C133" i="101"/>
  <c r="D55" i="54856"/>
  <c r="B135" i="101"/>
  <c r="C134" i="101"/>
  <c r="D56" i="101"/>
  <c r="F55" i="54856"/>
  <c r="E55" i="54856"/>
  <c r="F56" i="101"/>
  <c r="E56" i="101"/>
  <c r="B136" i="101"/>
  <c r="C135" i="101"/>
  <c r="G55" i="54856"/>
  <c r="H55" i="54856"/>
  <c r="G56" i="101"/>
  <c r="H56" i="101"/>
  <c r="B137" i="101"/>
  <c r="C136" i="101"/>
  <c r="D56" i="54856"/>
  <c r="B138" i="101"/>
  <c r="C137" i="101"/>
  <c r="D57" i="101"/>
  <c r="F56" i="54856"/>
  <c r="E56" i="54856"/>
  <c r="F57" i="101"/>
  <c r="E57" i="101"/>
  <c r="B139" i="101"/>
  <c r="C138" i="101"/>
  <c r="G56" i="54856"/>
  <c r="H56" i="54856"/>
  <c r="B140" i="101"/>
  <c r="C139" i="101"/>
  <c r="G57" i="101"/>
  <c r="H57" i="101"/>
  <c r="D57" i="54856"/>
  <c r="D58" i="101"/>
  <c r="B141" i="101"/>
  <c r="C140" i="101"/>
  <c r="F57" i="54856"/>
  <c r="E57" i="54856"/>
  <c r="F58" i="101"/>
  <c r="E58" i="101"/>
  <c r="B142" i="101"/>
  <c r="C141" i="101"/>
  <c r="G57" i="54856"/>
  <c r="H57" i="54856"/>
  <c r="B143" i="101"/>
  <c r="C142" i="101"/>
  <c r="G58" i="101"/>
  <c r="H58" i="101"/>
  <c r="D58" i="54856"/>
  <c r="D59" i="101"/>
  <c r="B144" i="101"/>
  <c r="C143" i="101"/>
  <c r="F58" i="54856"/>
  <c r="E58" i="54856"/>
  <c r="B145" i="101"/>
  <c r="C144" i="101"/>
  <c r="F59" i="101"/>
  <c r="E59" i="101"/>
  <c r="G58" i="54856"/>
  <c r="H58" i="54856"/>
  <c r="B146" i="101"/>
  <c r="C145" i="101"/>
  <c r="G59" i="101"/>
  <c r="H59" i="101"/>
  <c r="D59" i="54856"/>
  <c r="D60" i="101"/>
  <c r="B147" i="101"/>
  <c r="C146" i="101"/>
  <c r="F59" i="54856"/>
  <c r="E59" i="54856"/>
  <c r="B148" i="101"/>
  <c r="C147" i="101"/>
  <c r="F60" i="101"/>
  <c r="E60" i="101"/>
  <c r="G59" i="54856"/>
  <c r="H59" i="54856"/>
  <c r="B149" i="101"/>
  <c r="C148" i="101"/>
  <c r="G60" i="101"/>
  <c r="H60" i="101"/>
  <c r="D60" i="54856"/>
  <c r="D61" i="101"/>
  <c r="B150" i="101"/>
  <c r="C149" i="101"/>
  <c r="F60" i="54856"/>
  <c r="E60" i="54856"/>
  <c r="B151" i="101"/>
  <c r="C150" i="101"/>
  <c r="F61" i="101"/>
  <c r="E61" i="101"/>
  <c r="G60" i="54856"/>
  <c r="H60" i="54856"/>
  <c r="G61" i="101"/>
  <c r="H61" i="101"/>
  <c r="B152" i="101"/>
  <c r="C151" i="101"/>
  <c r="D61" i="54856"/>
  <c r="B153" i="101"/>
  <c r="C152" i="101"/>
  <c r="D62" i="101"/>
  <c r="F61" i="54856"/>
  <c r="E61" i="54856"/>
  <c r="F62" i="101"/>
  <c r="E62" i="101"/>
  <c r="B154" i="101"/>
  <c r="C153" i="101"/>
  <c r="G61" i="54856"/>
  <c r="H61" i="54856"/>
  <c r="G62" i="101"/>
  <c r="H62" i="101"/>
  <c r="B155" i="101"/>
  <c r="C154" i="101"/>
  <c r="D62" i="54856"/>
  <c r="B156" i="101"/>
  <c r="C155" i="101"/>
  <c r="D63" i="101"/>
  <c r="F62" i="54856"/>
  <c r="E62" i="54856"/>
  <c r="B157" i="101"/>
  <c r="C156" i="101"/>
  <c r="F63" i="101"/>
  <c r="E63" i="101"/>
  <c r="G62" i="54856"/>
  <c r="H62" i="54856"/>
  <c r="B158" i="101"/>
  <c r="C157" i="101"/>
  <c r="G63" i="101"/>
  <c r="H63" i="101"/>
  <c r="D63" i="54856"/>
  <c r="D64" i="101"/>
  <c r="B159" i="101"/>
  <c r="C158" i="101"/>
  <c r="F63" i="54856"/>
  <c r="E63" i="54856"/>
  <c r="B160" i="101"/>
  <c r="C159" i="101"/>
  <c r="F64" i="101"/>
  <c r="E64" i="101"/>
  <c r="G63" i="54856"/>
  <c r="H63" i="54856"/>
  <c r="B161" i="101"/>
  <c r="C160" i="101"/>
  <c r="G64" i="101"/>
  <c r="H64" i="101"/>
  <c r="D64" i="54856"/>
  <c r="D65" i="101"/>
  <c r="B162" i="101"/>
  <c r="C161" i="101"/>
  <c r="F64" i="54856"/>
  <c r="E64" i="54856"/>
  <c r="B163" i="101"/>
  <c r="C162" i="101"/>
  <c r="F65" i="101"/>
  <c r="E65" i="101"/>
  <c r="F13" i="101"/>
  <c r="F8" i="54848"/>
  <c r="F28" i="54848"/>
  <c r="G64" i="54856"/>
  <c r="H64" i="54856"/>
  <c r="J36" i="54839"/>
  <c r="F29" i="54848"/>
  <c r="B164" i="101"/>
  <c r="C163" i="101"/>
  <c r="G65" i="101"/>
  <c r="F12" i="101"/>
  <c r="H65" i="101"/>
  <c r="D65" i="54856"/>
  <c r="F14" i="101"/>
  <c r="F10" i="54848"/>
  <c r="D66" i="101"/>
  <c r="B165" i="101"/>
  <c r="C164" i="101"/>
  <c r="F7" i="54848"/>
  <c r="F65" i="54856"/>
  <c r="E65" i="54856"/>
  <c r="F13" i="54856"/>
  <c r="H22" i="54848"/>
  <c r="B166" i="101"/>
  <c r="C165" i="101"/>
  <c r="F66" i="101"/>
  <c r="E66" i="101"/>
  <c r="F30" i="54848"/>
  <c r="F9" i="54848"/>
  <c r="F32" i="54848"/>
  <c r="F33" i="54848"/>
  <c r="G6" i="54848"/>
  <c r="G27" i="54848"/>
  <c r="G65" i="54856"/>
  <c r="F12" i="54856"/>
  <c r="H21" i="54848"/>
  <c r="H23" i="54848"/>
  <c r="H65" i="54856"/>
  <c r="F31" i="54848"/>
  <c r="J35" i="54839"/>
  <c r="J37" i="54839"/>
  <c r="B167" i="101"/>
  <c r="C166" i="101"/>
  <c r="G66" i="101"/>
  <c r="H66" i="101"/>
  <c r="D66" i="54856"/>
  <c r="F14" i="54856"/>
  <c r="H24" i="54848"/>
  <c r="I20" i="54848"/>
  <c r="D67" i="101"/>
  <c r="B168" i="101"/>
  <c r="C167" i="101"/>
  <c r="J39" i="54839"/>
  <c r="J59" i="54839"/>
  <c r="F66" i="54856"/>
  <c r="E66" i="54856"/>
  <c r="B169" i="101"/>
  <c r="C168" i="101"/>
  <c r="F58" i="54843"/>
  <c r="J42" i="54839"/>
  <c r="F67" i="101"/>
  <c r="E67" i="101"/>
  <c r="G66" i="54856"/>
  <c r="H66" i="54856"/>
  <c r="G67" i="101"/>
  <c r="H67" i="101"/>
  <c r="D27" i="54841"/>
  <c r="B170" i="101"/>
  <c r="C169" i="101"/>
  <c r="D67" i="54856"/>
  <c r="D68" i="101"/>
  <c r="B171" i="101"/>
  <c r="C170" i="101"/>
  <c r="F67" i="54856"/>
  <c r="E67" i="54856"/>
  <c r="F68" i="101"/>
  <c r="E68" i="101"/>
  <c r="B172" i="101"/>
  <c r="C171" i="101"/>
  <c r="G67" i="54856"/>
  <c r="H67" i="54856"/>
  <c r="B173" i="101"/>
  <c r="C172" i="101"/>
  <c r="G68" i="101"/>
  <c r="H68" i="101"/>
  <c r="D68" i="54856"/>
  <c r="D69" i="101"/>
  <c r="B174" i="101"/>
  <c r="C173" i="101"/>
  <c r="F68" i="54856"/>
  <c r="E68" i="54856"/>
  <c r="B175" i="101"/>
  <c r="C174" i="101"/>
  <c r="F69" i="101"/>
  <c r="E69" i="101"/>
  <c r="G68" i="54856"/>
  <c r="H68" i="54856"/>
  <c r="B176" i="101"/>
  <c r="C175" i="101"/>
  <c r="G69" i="101"/>
  <c r="H69" i="101"/>
  <c r="D69" i="54856"/>
  <c r="B177" i="101"/>
  <c r="C176" i="101"/>
  <c r="D70" i="101"/>
  <c r="F69" i="54856"/>
  <c r="E69" i="54856"/>
  <c r="F70" i="101"/>
  <c r="E70" i="101"/>
  <c r="B178" i="101"/>
  <c r="C177" i="101"/>
  <c r="G69" i="54856"/>
  <c r="H69" i="54856"/>
  <c r="B179" i="101"/>
  <c r="C178" i="101"/>
  <c r="G70" i="101"/>
  <c r="H70" i="101"/>
  <c r="D70" i="54856"/>
  <c r="D71" i="101"/>
  <c r="B180" i="101"/>
  <c r="C179" i="101"/>
  <c r="F70" i="54856"/>
  <c r="E70" i="54856"/>
  <c r="B181" i="101"/>
  <c r="C180" i="101"/>
  <c r="F71" i="101"/>
  <c r="E71" i="101"/>
  <c r="G70" i="54856"/>
  <c r="H70" i="54856"/>
  <c r="B182" i="101"/>
  <c r="C181" i="101"/>
  <c r="G71" i="101"/>
  <c r="H71" i="101"/>
  <c r="D71" i="54856"/>
  <c r="B183" i="101"/>
  <c r="C182" i="101"/>
  <c r="D72" i="101"/>
  <c r="F71" i="54856"/>
  <c r="E71" i="54856"/>
  <c r="F72" i="101"/>
  <c r="E72" i="101"/>
  <c r="B184" i="101"/>
  <c r="C183" i="101"/>
  <c r="G71" i="54856"/>
  <c r="H71" i="54856"/>
  <c r="G72" i="101"/>
  <c r="H72" i="101"/>
  <c r="B185" i="101"/>
  <c r="C184" i="101"/>
  <c r="D72" i="54856"/>
  <c r="D73" i="101"/>
  <c r="B186" i="101"/>
  <c r="C185" i="101"/>
  <c r="F72" i="54856"/>
  <c r="E72" i="54856"/>
  <c r="B187" i="101"/>
  <c r="C186" i="101"/>
  <c r="F73" i="101"/>
  <c r="E73" i="101"/>
  <c r="G72" i="54856"/>
  <c r="H72" i="54856"/>
  <c r="B188" i="101"/>
  <c r="C187" i="101"/>
  <c r="G73" i="101"/>
  <c r="H73" i="101"/>
  <c r="D73" i="54856"/>
  <c r="B189" i="101"/>
  <c r="C188" i="101"/>
  <c r="D74" i="101"/>
  <c r="F73" i="54856"/>
  <c r="E73" i="54856"/>
  <c r="B190" i="101"/>
  <c r="C189" i="101"/>
  <c r="F74" i="101"/>
  <c r="E74" i="101"/>
  <c r="G73" i="54856"/>
  <c r="H73" i="54856"/>
  <c r="B191" i="101"/>
  <c r="C190" i="101"/>
  <c r="G74" i="101"/>
  <c r="H74" i="101"/>
  <c r="D74" i="54856"/>
  <c r="D75" i="101"/>
  <c r="B192" i="101"/>
  <c r="C191" i="101"/>
  <c r="F74" i="54856"/>
  <c r="E74" i="54856"/>
  <c r="B193" i="101"/>
  <c r="C192" i="101"/>
  <c r="F75" i="101"/>
  <c r="E75" i="101"/>
  <c r="G74" i="54856"/>
  <c r="H74" i="54856"/>
  <c r="G75" i="101"/>
  <c r="H75" i="101"/>
  <c r="B194" i="101"/>
  <c r="C193" i="101"/>
  <c r="D75" i="54856"/>
  <c r="B195" i="101"/>
  <c r="C194" i="101"/>
  <c r="D76" i="101"/>
  <c r="F75" i="54856"/>
  <c r="E75" i="54856"/>
  <c r="B196" i="101"/>
  <c r="C195" i="101"/>
  <c r="F76" i="101"/>
  <c r="E76" i="101"/>
  <c r="G75" i="54856"/>
  <c r="H75" i="54856"/>
  <c r="B197" i="101"/>
  <c r="C196" i="101"/>
  <c r="G76" i="101"/>
  <c r="H76" i="101"/>
  <c r="D76" i="54856"/>
  <c r="D77" i="101"/>
  <c r="B198" i="101"/>
  <c r="C197" i="101"/>
  <c r="F76" i="54856"/>
  <c r="E76" i="54856"/>
  <c r="B199" i="101"/>
  <c r="C198" i="101"/>
  <c r="F77" i="101"/>
  <c r="E77" i="101"/>
  <c r="G13" i="101"/>
  <c r="G76" i="54856"/>
  <c r="H76" i="54856"/>
  <c r="G77" i="101"/>
  <c r="G12" i="101"/>
  <c r="G7" i="54848"/>
  <c r="G30" i="54848"/>
  <c r="H77" i="101"/>
  <c r="G8" i="54848"/>
  <c r="B200" i="101"/>
  <c r="C199" i="101"/>
  <c r="D77" i="54856"/>
  <c r="G14" i="101"/>
  <c r="G10" i="54848"/>
  <c r="D78" i="101"/>
  <c r="B201" i="101"/>
  <c r="C200" i="101"/>
  <c r="L35" i="54839"/>
  <c r="G31" i="54848"/>
  <c r="D23" i="54840"/>
  <c r="G9" i="54848"/>
  <c r="G32" i="54848"/>
  <c r="G28" i="54848"/>
  <c r="F77" i="54856"/>
  <c r="E77" i="54856"/>
  <c r="G13" i="54856"/>
  <c r="I22" i="54848"/>
  <c r="L36" i="54839"/>
  <c r="L37" i="54839"/>
  <c r="G29" i="54848"/>
  <c r="F78" i="101"/>
  <c r="E78" i="101"/>
  <c r="B202" i="101"/>
  <c r="C201" i="101"/>
  <c r="H6" i="54848"/>
  <c r="H27" i="54848"/>
  <c r="G33" i="54848"/>
  <c r="D17" i="54840"/>
  <c r="D18" i="54840"/>
  <c r="D19" i="54840"/>
  <c r="G77" i="54856"/>
  <c r="G12" i="54856"/>
  <c r="I21" i="54848"/>
  <c r="I23" i="54848"/>
  <c r="H77" i="54856"/>
  <c r="D80" i="54843"/>
  <c r="D12" i="54843"/>
  <c r="D63" i="54843"/>
  <c r="E12" i="54843"/>
  <c r="E63" i="54843"/>
  <c r="E80" i="54843"/>
  <c r="D21" i="54840"/>
  <c r="D20" i="54840"/>
  <c r="D8" i="54858"/>
  <c r="E8" i="54858"/>
  <c r="E17" i="54840"/>
  <c r="G78" i="101"/>
  <c r="H78" i="101"/>
  <c r="B203" i="101"/>
  <c r="C202" i="101"/>
  <c r="L39" i="54839"/>
  <c r="L59" i="54839"/>
  <c r="G14" i="54856"/>
  <c r="I24" i="54848"/>
  <c r="J20" i="54848"/>
  <c r="D78" i="54856"/>
  <c r="D29" i="54840"/>
  <c r="D22" i="54840"/>
  <c r="D25" i="54840"/>
  <c r="K19" i="54858"/>
  <c r="B204" i="101"/>
  <c r="C203" i="101"/>
  <c r="L42" i="54839"/>
  <c r="G58" i="54843"/>
  <c r="D79" i="101"/>
  <c r="F78" i="54856"/>
  <c r="E78" i="54856"/>
  <c r="E26" i="54843"/>
  <c r="D26" i="54843"/>
  <c r="D81" i="54843"/>
  <c r="E73" i="54843"/>
  <c r="D13" i="54843"/>
  <c r="M9" i="54858"/>
  <c r="B17" i="54843"/>
  <c r="N9" i="54858"/>
  <c r="B15" i="54843"/>
  <c r="B66" i="54843"/>
  <c r="B83" i="54843"/>
  <c r="D27" i="54840"/>
  <c r="D24" i="54840"/>
  <c r="D26" i="54840"/>
  <c r="H15" i="54840"/>
  <c r="L12" i="54843"/>
  <c r="L63" i="54843"/>
  <c r="E81" i="54843"/>
  <c r="F73" i="54843"/>
  <c r="F79" i="101"/>
  <c r="E79" i="101"/>
  <c r="D28" i="54841"/>
  <c r="B205" i="101"/>
  <c r="C204" i="101"/>
  <c r="K26" i="54843"/>
  <c r="G78" i="54856"/>
  <c r="H78" i="54856"/>
  <c r="E6" i="54843"/>
  <c r="E74" i="54843"/>
  <c r="D64" i="54843"/>
  <c r="D10" i="54843"/>
  <c r="D78" i="54843"/>
  <c r="E27" i="54843"/>
  <c r="D27" i="54843"/>
  <c r="D28" i="54843"/>
  <c r="F81" i="54843"/>
  <c r="G73" i="54843"/>
  <c r="H12" i="54843"/>
  <c r="H63" i="54843"/>
  <c r="I12" i="54843"/>
  <c r="I63" i="54843"/>
  <c r="D28" i="54840"/>
  <c r="E78" i="54843"/>
  <c r="E10" i="54843"/>
  <c r="B68" i="54843"/>
  <c r="B85" i="54843"/>
  <c r="B53" i="54839"/>
  <c r="B206" i="101"/>
  <c r="C205" i="101"/>
  <c r="G79" i="101"/>
  <c r="H79" i="101"/>
  <c r="K10" i="54843"/>
  <c r="K78" i="54843"/>
  <c r="K27" i="54843"/>
  <c r="D79" i="54856"/>
  <c r="D29" i="54843"/>
  <c r="D41" i="54843"/>
  <c r="D46" i="54843"/>
  <c r="D47" i="54843"/>
  <c r="D35" i="54843"/>
  <c r="D40" i="54843"/>
  <c r="D79" i="54843"/>
  <c r="D82" i="54843"/>
  <c r="D61" i="54843"/>
  <c r="D14" i="54843"/>
  <c r="D11" i="54843"/>
  <c r="E9" i="54841"/>
  <c r="E8" i="54841"/>
  <c r="F8" i="54841"/>
  <c r="E57" i="54843"/>
  <c r="E59" i="54843"/>
  <c r="E60" i="54843"/>
  <c r="H50" i="54839"/>
  <c r="E13" i="54843"/>
  <c r="E61" i="54843"/>
  <c r="G81" i="54843"/>
  <c r="H73" i="54843"/>
  <c r="B207" i="101"/>
  <c r="C206" i="101"/>
  <c r="D80" i="101"/>
  <c r="E15" i="54841"/>
  <c r="K61" i="54843"/>
  <c r="F79" i="54856"/>
  <c r="E79" i="54856"/>
  <c r="D44" i="54843"/>
  <c r="D42" i="54843"/>
  <c r="D43" i="54843"/>
  <c r="D45" i="54843"/>
  <c r="D32" i="54843"/>
  <c r="D30" i="54843"/>
  <c r="D31" i="54843"/>
  <c r="D33" i="54843"/>
  <c r="D48" i="54843"/>
  <c r="D49" i="54843"/>
  <c r="D50" i="54843"/>
  <c r="D51" i="54843"/>
  <c r="E25" i="54841"/>
  <c r="F25" i="54841"/>
  <c r="D62" i="54843"/>
  <c r="D65" i="54843"/>
  <c r="H43" i="54839"/>
  <c r="D34" i="54843"/>
  <c r="F6" i="54843"/>
  <c r="E64" i="54843"/>
  <c r="D38" i="54843"/>
  <c r="D36" i="54843"/>
  <c r="D37" i="54843"/>
  <c r="D39" i="54843"/>
  <c r="D52" i="54843"/>
  <c r="H81" i="54843"/>
  <c r="I73" i="54843"/>
  <c r="E26" i="54841"/>
  <c r="F26" i="54841"/>
  <c r="E62" i="54843"/>
  <c r="E65" i="54843"/>
  <c r="F80" i="101"/>
  <c r="E80" i="101"/>
  <c r="B208" i="101"/>
  <c r="C207" i="101"/>
  <c r="E32" i="54841"/>
  <c r="G79" i="54856"/>
  <c r="H79" i="54856"/>
  <c r="F74" i="54843"/>
  <c r="F80" i="54843"/>
  <c r="F57" i="54843"/>
  <c r="F59" i="54843"/>
  <c r="F60" i="54843"/>
  <c r="F13" i="54843"/>
  <c r="J50" i="54839"/>
  <c r="H45" i="54839"/>
  <c r="H44" i="54839"/>
  <c r="I81" i="54843"/>
  <c r="J73" i="54843"/>
  <c r="B209" i="101"/>
  <c r="C208" i="101"/>
  <c r="G80" i="101"/>
  <c r="H80" i="101"/>
  <c r="D80" i="54856"/>
  <c r="H46" i="54839"/>
  <c r="H48" i="54839"/>
  <c r="H47" i="54839"/>
  <c r="J43" i="54839"/>
  <c r="F64" i="54843"/>
  <c r="G6" i="54843"/>
  <c r="J81" i="54843"/>
  <c r="K73" i="54843"/>
  <c r="D81" i="101"/>
  <c r="B210" i="101"/>
  <c r="C209" i="101"/>
  <c r="F80" i="54856"/>
  <c r="E80" i="54856"/>
  <c r="G57" i="54843"/>
  <c r="G59" i="54843"/>
  <c r="G60" i="54843"/>
  <c r="G13" i="54843"/>
  <c r="L50" i="54839"/>
  <c r="G74" i="54843"/>
  <c r="G80" i="54843"/>
  <c r="J45" i="54839"/>
  <c r="J44" i="54839"/>
  <c r="E7" i="54843"/>
  <c r="D9" i="54841"/>
  <c r="F9" i="54841"/>
  <c r="E25" i="54843"/>
  <c r="E23" i="54843"/>
  <c r="E22" i="54843"/>
  <c r="E28" i="54843"/>
  <c r="H52" i="54839"/>
  <c r="E8" i="54843"/>
  <c r="K81" i="54843"/>
  <c r="L73" i="54843"/>
  <c r="B211" i="101"/>
  <c r="C210" i="101"/>
  <c r="F81" i="101"/>
  <c r="E81" i="101"/>
  <c r="G80" i="54856"/>
  <c r="H80" i="54856"/>
  <c r="L43" i="54839"/>
  <c r="E75" i="54843"/>
  <c r="E14" i="54843"/>
  <c r="E11" i="54843"/>
  <c r="J47" i="54839"/>
  <c r="J46" i="54839"/>
  <c r="J48" i="54839"/>
  <c r="E76" i="54843"/>
  <c r="E77" i="54843"/>
  <c r="E9" i="54843"/>
  <c r="E41" i="54843"/>
  <c r="E42" i="54843"/>
  <c r="E29" i="54843"/>
  <c r="E30" i="54843"/>
  <c r="E47" i="54843"/>
  <c r="E50" i="54843"/>
  <c r="E35" i="54843"/>
  <c r="E38" i="54843"/>
  <c r="H6" i="54843"/>
  <c r="G64" i="54843"/>
  <c r="L81" i="54843"/>
  <c r="B212" i="101"/>
  <c r="C211" i="101"/>
  <c r="G81" i="101"/>
  <c r="H81" i="101"/>
  <c r="D81" i="54856"/>
  <c r="E48" i="54843"/>
  <c r="E32" i="54843"/>
  <c r="E36" i="54843"/>
  <c r="E44" i="54843"/>
  <c r="L45" i="54839"/>
  <c r="L44" i="54839"/>
  <c r="F53" i="54839"/>
  <c r="J53" i="54839"/>
  <c r="D10" i="54841"/>
  <c r="F23" i="54843"/>
  <c r="J52" i="54839"/>
  <c r="F8" i="54843"/>
  <c r="F22" i="54843"/>
  <c r="F7" i="54843"/>
  <c r="F75" i="54843"/>
  <c r="F25" i="54843"/>
  <c r="E40" i="54843"/>
  <c r="E37" i="54843"/>
  <c r="E39" i="54843"/>
  <c r="E52" i="54843"/>
  <c r="E49" i="54843"/>
  <c r="E51" i="54843"/>
  <c r="E34" i="54843"/>
  <c r="E31" i="54843"/>
  <c r="E33" i="54843"/>
  <c r="E79" i="54843"/>
  <c r="E82" i="54843"/>
  <c r="N50" i="54839"/>
  <c r="H13" i="54843"/>
  <c r="H74" i="54843"/>
  <c r="H80" i="54843"/>
  <c r="H57" i="54843"/>
  <c r="E46" i="54843"/>
  <c r="E45" i="54843"/>
  <c r="E43" i="54843"/>
  <c r="D82" i="101"/>
  <c r="B213" i="101"/>
  <c r="C212" i="101"/>
  <c r="F81" i="54856"/>
  <c r="E81" i="54856"/>
  <c r="N43" i="54839"/>
  <c r="L46" i="54839"/>
  <c r="L48" i="54839"/>
  <c r="L47" i="54839"/>
  <c r="I6" i="54843"/>
  <c r="I13" i="54843"/>
  <c r="H64" i="54843"/>
  <c r="F76" i="54843"/>
  <c r="F77" i="54843"/>
  <c r="F9" i="54843"/>
  <c r="B214" i="101"/>
  <c r="C213" i="101"/>
  <c r="F82" i="101"/>
  <c r="E82" i="101"/>
  <c r="G81" i="54856"/>
  <c r="H81" i="54856"/>
  <c r="G23" i="54843"/>
  <c r="L52" i="54839"/>
  <c r="G8" i="54843"/>
  <c r="D11" i="54841"/>
  <c r="G7" i="54843"/>
  <c r="G75" i="54843"/>
  <c r="G22" i="54843"/>
  <c r="G25" i="54843"/>
  <c r="I64" i="54843"/>
  <c r="J6" i="54843"/>
  <c r="I57" i="54843"/>
  <c r="I74" i="54843"/>
  <c r="I80" i="54843"/>
  <c r="P50" i="54839"/>
  <c r="B215" i="101"/>
  <c r="C214" i="101"/>
  <c r="G82" i="101"/>
  <c r="H82" i="101"/>
  <c r="D82" i="54856"/>
  <c r="G76" i="54843"/>
  <c r="G77" i="54843"/>
  <c r="G9" i="54843"/>
  <c r="L53" i="54839"/>
  <c r="J13" i="54843"/>
  <c r="R50" i="54839"/>
  <c r="J57" i="54843"/>
  <c r="J74" i="54843"/>
  <c r="D83" i="101"/>
  <c r="B216" i="101"/>
  <c r="C215" i="101"/>
  <c r="F82" i="54856"/>
  <c r="E82" i="54856"/>
  <c r="K6" i="54843"/>
  <c r="J64" i="54843"/>
  <c r="F83" i="101"/>
  <c r="E83" i="101"/>
  <c r="B217" i="101"/>
  <c r="C216" i="101"/>
  <c r="G82" i="54856"/>
  <c r="H82" i="54856"/>
  <c r="K13" i="54843"/>
  <c r="K57" i="54843"/>
  <c r="T50" i="54839"/>
  <c r="K74" i="54843"/>
  <c r="K80" i="54843"/>
  <c r="B218" i="101"/>
  <c r="C217" i="101"/>
  <c r="G83" i="101"/>
  <c r="H83" i="101"/>
  <c r="D83" i="54856"/>
  <c r="L6" i="54843"/>
  <c r="L13" i="54843"/>
  <c r="L64" i="54843"/>
  <c r="K64" i="54843"/>
  <c r="D84" i="101"/>
  <c r="B219" i="101"/>
  <c r="C218" i="101"/>
  <c r="F83" i="54856"/>
  <c r="E83" i="54856"/>
  <c r="L57" i="54843"/>
  <c r="V50" i="54839"/>
  <c r="L74" i="54843"/>
  <c r="L80" i="54843"/>
  <c r="B220" i="101"/>
  <c r="C219" i="101"/>
  <c r="F84" i="101"/>
  <c r="E84" i="101"/>
  <c r="G83" i="54856"/>
  <c r="H83" i="54856"/>
  <c r="G84" i="101"/>
  <c r="H84" i="101"/>
  <c r="B221" i="101"/>
  <c r="C220" i="101"/>
  <c r="D84" i="54856"/>
  <c r="D85" i="101"/>
  <c r="B222" i="101"/>
  <c r="C221" i="101"/>
  <c r="F84" i="54856"/>
  <c r="E84" i="54856"/>
  <c r="B223" i="101"/>
  <c r="C222" i="101"/>
  <c r="F85" i="101"/>
  <c r="E85" i="101"/>
  <c r="G84" i="54856"/>
  <c r="H84" i="54856"/>
  <c r="G85" i="101"/>
  <c r="H85" i="101"/>
  <c r="B224" i="101"/>
  <c r="C223" i="101"/>
  <c r="D85" i="54856"/>
  <c r="B225" i="101"/>
  <c r="C224" i="101"/>
  <c r="D86" i="101"/>
  <c r="F85" i="54856"/>
  <c r="E85" i="54856"/>
  <c r="F86" i="101"/>
  <c r="E86" i="101"/>
  <c r="B226" i="101"/>
  <c r="C225" i="101"/>
  <c r="G85" i="54856"/>
  <c r="H85" i="54856"/>
  <c r="B227" i="101"/>
  <c r="C226" i="101"/>
  <c r="G86" i="101"/>
  <c r="H86" i="101"/>
  <c r="D86" i="54856"/>
  <c r="B228" i="101"/>
  <c r="C227" i="101"/>
  <c r="D87" i="101"/>
  <c r="F86" i="54856"/>
  <c r="E86" i="54856"/>
  <c r="B229" i="101"/>
  <c r="C228" i="101"/>
  <c r="F87" i="101"/>
  <c r="E87" i="101"/>
  <c r="G86" i="54856"/>
  <c r="H86" i="54856"/>
  <c r="G87" i="101"/>
  <c r="H87" i="101"/>
  <c r="B230" i="101"/>
  <c r="C229" i="101"/>
  <c r="D87" i="54856"/>
  <c r="B231" i="101"/>
  <c r="C230" i="101"/>
  <c r="D88" i="101"/>
  <c r="F87" i="54856"/>
  <c r="E87" i="54856"/>
  <c r="F88" i="101"/>
  <c r="E88" i="101"/>
  <c r="B232" i="101"/>
  <c r="C231" i="101"/>
  <c r="G87" i="54856"/>
  <c r="H87" i="54856"/>
  <c r="G88" i="101"/>
  <c r="H88" i="101"/>
  <c r="B233" i="101"/>
  <c r="C232" i="101"/>
  <c r="D88" i="54856"/>
  <c r="D89" i="101"/>
  <c r="B234" i="101"/>
  <c r="C233" i="101"/>
  <c r="F88" i="54856"/>
  <c r="E88" i="54856"/>
  <c r="B235" i="101"/>
  <c r="C234" i="101"/>
  <c r="F89" i="101"/>
  <c r="E89" i="101"/>
  <c r="H13" i="101"/>
  <c r="H8" i="54848"/>
  <c r="H28" i="54848"/>
  <c r="G88" i="54856"/>
  <c r="H88" i="54856"/>
  <c r="H29" i="54848"/>
  <c r="N36" i="54839"/>
  <c r="B236" i="101"/>
  <c r="C235" i="101"/>
  <c r="G89" i="101"/>
  <c r="H12" i="101"/>
  <c r="H7" i="54848"/>
  <c r="H89" i="101"/>
  <c r="D89" i="54856"/>
  <c r="H14" i="101"/>
  <c r="H10" i="54848"/>
  <c r="D90" i="101"/>
  <c r="B237" i="101"/>
  <c r="C236" i="101"/>
  <c r="H9" i="54848"/>
  <c r="H32" i="54848"/>
  <c r="H30" i="54848"/>
  <c r="F89" i="54856"/>
  <c r="E89" i="54856"/>
  <c r="H13" i="54856"/>
  <c r="J22" i="54848"/>
  <c r="N35" i="54839"/>
  <c r="N37" i="54839"/>
  <c r="H31" i="54848"/>
  <c r="B238" i="101"/>
  <c r="C237" i="101"/>
  <c r="F90" i="101"/>
  <c r="E90" i="101"/>
  <c r="I6" i="54848"/>
  <c r="I27" i="54848"/>
  <c r="H33" i="54848"/>
  <c r="G89" i="54856"/>
  <c r="H12" i="54856"/>
  <c r="H89" i="54856"/>
  <c r="J21" i="54848"/>
  <c r="J23" i="54848"/>
  <c r="B239" i="101"/>
  <c r="C238" i="101"/>
  <c r="G90" i="101"/>
  <c r="H90" i="101"/>
  <c r="N59" i="54839"/>
  <c r="N39" i="54839"/>
  <c r="D90" i="54856"/>
  <c r="H14" i="54856"/>
  <c r="J24" i="54848"/>
  <c r="K20" i="54848"/>
  <c r="N42" i="54839"/>
  <c r="N45" i="54839"/>
  <c r="H58" i="54843"/>
  <c r="D91" i="101"/>
  <c r="B240" i="101"/>
  <c r="C239" i="101"/>
  <c r="F90" i="54856"/>
  <c r="E90" i="54856"/>
  <c r="N47" i="54839"/>
  <c r="N44" i="54839"/>
  <c r="P43" i="54839"/>
  <c r="N46" i="54839"/>
  <c r="N48" i="54839"/>
  <c r="B241" i="101"/>
  <c r="C240" i="101"/>
  <c r="F91" i="101"/>
  <c r="E91" i="101"/>
  <c r="D29" i="54841"/>
  <c r="H59" i="54843"/>
  <c r="H60" i="54843"/>
  <c r="G90" i="54856"/>
  <c r="H90" i="54856"/>
  <c r="H23" i="54843"/>
  <c r="D12" i="54841"/>
  <c r="N52" i="54839"/>
  <c r="H8" i="54843"/>
  <c r="H9" i="54843"/>
  <c r="N53" i="54839"/>
  <c r="H7" i="54843"/>
  <c r="H75" i="54843"/>
  <c r="H25" i="54843"/>
  <c r="H22" i="54843"/>
  <c r="G91" i="101"/>
  <c r="H91" i="101"/>
  <c r="B242" i="101"/>
  <c r="C241" i="101"/>
  <c r="D91" i="54856"/>
  <c r="H76" i="54843"/>
  <c r="H77" i="54843"/>
  <c r="D92" i="101"/>
  <c r="B243" i="101"/>
  <c r="C242" i="101"/>
  <c r="F91" i="54856"/>
  <c r="E91" i="54856"/>
  <c r="B244" i="101"/>
  <c r="C243" i="101"/>
  <c r="F92" i="101"/>
  <c r="E92" i="101"/>
  <c r="G91" i="54856"/>
  <c r="H91" i="54856"/>
  <c r="G92" i="101"/>
  <c r="H92" i="101"/>
  <c r="B245" i="101"/>
  <c r="C244" i="101"/>
  <c r="D92" i="54856"/>
  <c r="B246" i="101"/>
  <c r="C245" i="101"/>
  <c r="D93" i="101"/>
  <c r="F92" i="54856"/>
  <c r="E92" i="54856"/>
  <c r="F93" i="101"/>
  <c r="E93" i="101"/>
  <c r="B247" i="101"/>
  <c r="C246" i="101"/>
  <c r="G92" i="54856"/>
  <c r="H92" i="54856"/>
  <c r="B248" i="101"/>
  <c r="C247" i="101"/>
  <c r="G93" i="101"/>
  <c r="H93" i="101"/>
  <c r="D93" i="54856"/>
  <c r="D94" i="101"/>
  <c r="B249" i="101"/>
  <c r="C248" i="101"/>
  <c r="F93" i="54856"/>
  <c r="E93" i="54856"/>
  <c r="B250" i="101"/>
  <c r="C249" i="101"/>
  <c r="F94" i="101"/>
  <c r="E94" i="101"/>
  <c r="G93" i="54856"/>
  <c r="H93" i="54856"/>
  <c r="B251" i="101"/>
  <c r="C250" i="101"/>
  <c r="G94" i="101"/>
  <c r="H94" i="101"/>
  <c r="D94" i="54856"/>
  <c r="D95" i="101"/>
  <c r="B252" i="101"/>
  <c r="C251" i="101"/>
  <c r="F94" i="54856"/>
  <c r="E94" i="54856"/>
  <c r="B253" i="101"/>
  <c r="C252" i="101"/>
  <c r="F95" i="101"/>
  <c r="E95" i="101"/>
  <c r="G94" i="54856"/>
  <c r="H94" i="54856"/>
  <c r="G95" i="101"/>
  <c r="H95" i="101"/>
  <c r="B254" i="101"/>
  <c r="C253" i="101"/>
  <c r="D95" i="54856"/>
  <c r="D96" i="101"/>
  <c r="B255" i="101"/>
  <c r="C254" i="101"/>
  <c r="F95" i="54856"/>
  <c r="E95" i="54856"/>
  <c r="B256" i="101"/>
  <c r="C255" i="101"/>
  <c r="F96" i="101"/>
  <c r="E96" i="101"/>
  <c r="G95" i="54856"/>
  <c r="H95" i="54856"/>
  <c r="G96" i="101"/>
  <c r="H96" i="101"/>
  <c r="B257" i="101"/>
  <c r="C256" i="101"/>
  <c r="D96" i="54856"/>
  <c r="D97" i="101"/>
  <c r="B258" i="101"/>
  <c r="C257" i="101"/>
  <c r="F96" i="54856"/>
  <c r="E96" i="54856"/>
  <c r="B259" i="101"/>
  <c r="C258" i="101"/>
  <c r="F97" i="101"/>
  <c r="E97" i="101"/>
  <c r="G96" i="54856"/>
  <c r="H96" i="54856"/>
  <c r="B260" i="101"/>
  <c r="C259" i="101"/>
  <c r="G97" i="101"/>
  <c r="H97" i="101"/>
  <c r="D97" i="54856"/>
  <c r="D98" i="101"/>
  <c r="B261" i="101"/>
  <c r="C260" i="101"/>
  <c r="F97" i="54856"/>
  <c r="E97" i="54856"/>
  <c r="B262" i="101"/>
  <c r="C261" i="101"/>
  <c r="F98" i="101"/>
  <c r="E98" i="101"/>
  <c r="G97" i="54856"/>
  <c r="H97" i="54856"/>
  <c r="B263" i="101"/>
  <c r="C262" i="101"/>
  <c r="G98" i="101"/>
  <c r="H98" i="101"/>
  <c r="D98" i="54856"/>
  <c r="D99" i="101"/>
  <c r="B264" i="101"/>
  <c r="C263" i="101"/>
  <c r="F98" i="54856"/>
  <c r="E98" i="54856"/>
  <c r="B265" i="101"/>
  <c r="C264" i="101"/>
  <c r="F99" i="101"/>
  <c r="E99" i="101"/>
  <c r="G98" i="54856"/>
  <c r="H98" i="54856"/>
  <c r="G99" i="101"/>
  <c r="H99" i="101"/>
  <c r="B266" i="101"/>
  <c r="C265" i="101"/>
  <c r="D99" i="54856"/>
  <c r="D100" i="101"/>
  <c r="B267" i="101"/>
  <c r="C266" i="101"/>
  <c r="F99" i="54856"/>
  <c r="E99" i="54856"/>
  <c r="B268" i="101"/>
  <c r="C267" i="101"/>
  <c r="F100" i="101"/>
  <c r="E100" i="101"/>
  <c r="G99" i="54856"/>
  <c r="H99" i="54856"/>
  <c r="B269" i="101"/>
  <c r="C268" i="101"/>
  <c r="G100" i="101"/>
  <c r="H100" i="101"/>
  <c r="D100" i="54856"/>
  <c r="D101" i="101"/>
  <c r="B270" i="101"/>
  <c r="C269" i="101"/>
  <c r="F100" i="54856"/>
  <c r="E100" i="54856"/>
  <c r="B271" i="101"/>
  <c r="C270" i="101"/>
  <c r="F101" i="101"/>
  <c r="E101" i="101"/>
  <c r="I13" i="101"/>
  <c r="G100" i="54856"/>
  <c r="H100" i="54856"/>
  <c r="G101" i="101"/>
  <c r="I12" i="101"/>
  <c r="I7" i="54848"/>
  <c r="I30" i="54848"/>
  <c r="H101" i="101"/>
  <c r="I8" i="54848"/>
  <c r="B272" i="101"/>
  <c r="C271" i="101"/>
  <c r="D101" i="54856"/>
  <c r="I9" i="54848"/>
  <c r="I32" i="54848"/>
  <c r="I28" i="54848"/>
  <c r="I14" i="101"/>
  <c r="I10" i="54848"/>
  <c r="D102" i="101"/>
  <c r="B273" i="101"/>
  <c r="C272" i="101"/>
  <c r="P35" i="54839"/>
  <c r="I31" i="54848"/>
  <c r="F101" i="54856"/>
  <c r="E101" i="54856"/>
  <c r="I13" i="54856"/>
  <c r="K22" i="54848"/>
  <c r="B274" i="101"/>
  <c r="C273" i="101"/>
  <c r="F102" i="101"/>
  <c r="E102" i="101"/>
  <c r="J6" i="54848"/>
  <c r="J27" i="54848"/>
  <c r="I33" i="54848"/>
  <c r="I29" i="54848"/>
  <c r="P36" i="54839"/>
  <c r="P37" i="54839"/>
  <c r="G101" i="54856"/>
  <c r="I12" i="54856"/>
  <c r="H101" i="54856"/>
  <c r="K21" i="54848"/>
  <c r="K23" i="54848"/>
  <c r="P59" i="54839"/>
  <c r="P39" i="54839"/>
  <c r="B275" i="101"/>
  <c r="C274" i="101"/>
  <c r="G102" i="101"/>
  <c r="H102" i="101"/>
  <c r="D102" i="54856"/>
  <c r="I14" i="54856"/>
  <c r="K24" i="54848"/>
  <c r="L20" i="54848"/>
  <c r="D103" i="101"/>
  <c r="B276" i="101"/>
  <c r="C275" i="101"/>
  <c r="I58" i="54843"/>
  <c r="P42" i="54839"/>
  <c r="P45" i="54839"/>
  <c r="P44" i="54839"/>
  <c r="R43" i="54839"/>
  <c r="F102" i="54856"/>
  <c r="E102" i="54856"/>
  <c r="P47" i="54839"/>
  <c r="P46" i="54839"/>
  <c r="P48" i="54839"/>
  <c r="B277" i="101"/>
  <c r="C276" i="101"/>
  <c r="I59" i="54843"/>
  <c r="I60" i="54843"/>
  <c r="D30" i="54841"/>
  <c r="F103" i="101"/>
  <c r="E103" i="101"/>
  <c r="G102" i="54856"/>
  <c r="H102" i="54856"/>
  <c r="G103" i="101"/>
  <c r="H103" i="101"/>
  <c r="B278" i="101"/>
  <c r="C277" i="101"/>
  <c r="I23" i="54843"/>
  <c r="I25" i="54843"/>
  <c r="I22" i="54843"/>
  <c r="P52" i="54839"/>
  <c r="I8" i="54843"/>
  <c r="I7" i="54843"/>
  <c r="D13" i="54841"/>
  <c r="D103" i="54856"/>
  <c r="D104" i="101"/>
  <c r="I75" i="54843"/>
  <c r="B279" i="101"/>
  <c r="C278" i="101"/>
  <c r="I76" i="54843"/>
  <c r="I77" i="54843"/>
  <c r="I9" i="54843"/>
  <c r="F103" i="54856"/>
  <c r="E103" i="54856"/>
  <c r="F104" i="101"/>
  <c r="E104" i="101"/>
  <c r="B280" i="101"/>
  <c r="C279" i="101"/>
  <c r="P53" i="54839"/>
  <c r="G103" i="54856"/>
  <c r="H103" i="54856"/>
  <c r="G104" i="101"/>
  <c r="H104" i="101"/>
  <c r="B281" i="101"/>
  <c r="C280" i="101"/>
  <c r="D104" i="54856"/>
  <c r="D105" i="101"/>
  <c r="B282" i="101"/>
  <c r="C281" i="101"/>
  <c r="F104" i="54856"/>
  <c r="E104" i="54856"/>
  <c r="F105" i="101"/>
  <c r="E105" i="101"/>
  <c r="B283" i="101"/>
  <c r="C282" i="101"/>
  <c r="G104" i="54856"/>
  <c r="H104" i="54856"/>
  <c r="G105" i="101"/>
  <c r="H105" i="101"/>
  <c r="B284" i="101"/>
  <c r="C283" i="101"/>
  <c r="D105" i="54856"/>
  <c r="B285" i="101"/>
  <c r="C284" i="101"/>
  <c r="D106" i="101"/>
  <c r="F105" i="54856"/>
  <c r="E105" i="54856"/>
  <c r="F106" i="101"/>
  <c r="E106" i="101"/>
  <c r="B286" i="101"/>
  <c r="C285" i="101"/>
  <c r="G105" i="54856"/>
  <c r="H105" i="54856"/>
  <c r="B287" i="101"/>
  <c r="C286" i="101"/>
  <c r="G106" i="101"/>
  <c r="H106" i="101"/>
  <c r="D106" i="54856"/>
  <c r="B288" i="101"/>
  <c r="C287" i="101"/>
  <c r="D107" i="101"/>
  <c r="F106" i="54856"/>
  <c r="E106" i="54856"/>
  <c r="F107" i="101"/>
  <c r="E107" i="101"/>
  <c r="B289" i="101"/>
  <c r="C288" i="101"/>
  <c r="G106" i="54856"/>
  <c r="H106" i="54856"/>
  <c r="B290" i="101"/>
  <c r="C289" i="101"/>
  <c r="G107" i="101"/>
  <c r="H107" i="101"/>
  <c r="D107" i="54856"/>
  <c r="D108" i="101"/>
  <c r="B291" i="101"/>
  <c r="C290" i="101"/>
  <c r="F107" i="54856"/>
  <c r="E107" i="54856"/>
  <c r="B292" i="101"/>
  <c r="C291" i="101"/>
  <c r="F108" i="101"/>
  <c r="E108" i="101"/>
  <c r="G107" i="54856"/>
  <c r="H107" i="54856"/>
  <c r="B293" i="101"/>
  <c r="C292" i="101"/>
  <c r="G108" i="101"/>
  <c r="H108" i="101"/>
  <c r="D108" i="54856"/>
  <c r="D109" i="101"/>
  <c r="B294" i="101"/>
  <c r="C293" i="101"/>
  <c r="F108" i="54856"/>
  <c r="E108" i="54856"/>
  <c r="B295" i="101"/>
  <c r="C294" i="101"/>
  <c r="F109" i="101"/>
  <c r="E109" i="101"/>
  <c r="G108" i="54856"/>
  <c r="H108" i="54856"/>
  <c r="G109" i="101"/>
  <c r="H109" i="101"/>
  <c r="B296" i="101"/>
  <c r="C295" i="101"/>
  <c r="D109" i="54856"/>
  <c r="D110" i="101"/>
  <c r="B297" i="101"/>
  <c r="C296" i="101"/>
  <c r="F109" i="54856"/>
  <c r="E109" i="54856"/>
  <c r="B298" i="101"/>
  <c r="C297" i="101"/>
  <c r="F110" i="101"/>
  <c r="E110" i="101"/>
  <c r="G109" i="54856"/>
  <c r="H109" i="54856"/>
  <c r="B299" i="101"/>
  <c r="C298" i="101"/>
  <c r="G110" i="101"/>
  <c r="H110" i="101"/>
  <c r="D110" i="54856"/>
  <c r="D111" i="101"/>
  <c r="B300" i="101"/>
  <c r="C299" i="101"/>
  <c r="F110" i="54856"/>
  <c r="E110" i="54856"/>
  <c r="B301" i="101"/>
  <c r="C300" i="101"/>
  <c r="F111" i="101"/>
  <c r="E111" i="101"/>
  <c r="G110" i="54856"/>
  <c r="H110" i="54856"/>
  <c r="G111" i="101"/>
  <c r="H111" i="101"/>
  <c r="B302" i="101"/>
  <c r="C301" i="101"/>
  <c r="D111" i="54856"/>
  <c r="D112" i="101"/>
  <c r="B303" i="101"/>
  <c r="C302" i="101"/>
  <c r="F111" i="54856"/>
  <c r="E111" i="54856"/>
  <c r="B304" i="101"/>
  <c r="C303" i="101"/>
  <c r="F112" i="101"/>
  <c r="E112" i="101"/>
  <c r="G111" i="54856"/>
  <c r="H111" i="54856"/>
  <c r="B305" i="101"/>
  <c r="C304" i="101"/>
  <c r="G112" i="101"/>
  <c r="H112" i="101"/>
  <c r="D112" i="54856"/>
  <c r="D113" i="101"/>
  <c r="B306" i="101"/>
  <c r="C305" i="101"/>
  <c r="F112" i="54856"/>
  <c r="E112" i="54856"/>
  <c r="B307" i="101"/>
  <c r="C306" i="101"/>
  <c r="F113" i="101"/>
  <c r="E113" i="101"/>
  <c r="J13" i="101"/>
  <c r="J8" i="54848"/>
  <c r="J28" i="54848"/>
  <c r="G112" i="54856"/>
  <c r="H112" i="54856"/>
  <c r="J29" i="54848"/>
  <c r="R36" i="54839"/>
  <c r="B308" i="101"/>
  <c r="C307" i="101"/>
  <c r="G113" i="101"/>
  <c r="J12" i="101"/>
  <c r="J7" i="54848"/>
  <c r="H113" i="101"/>
  <c r="D113" i="54856"/>
  <c r="J14" i="101"/>
  <c r="J10" i="54848"/>
  <c r="D114" i="101"/>
  <c r="B309" i="101"/>
  <c r="C308" i="101"/>
  <c r="J9" i="54848"/>
  <c r="J32" i="54848"/>
  <c r="J30" i="54848"/>
  <c r="F113" i="54856"/>
  <c r="E113" i="54856"/>
  <c r="J13" i="54856"/>
  <c r="L22" i="54848"/>
  <c r="B310" i="101"/>
  <c r="C309" i="101"/>
  <c r="R35" i="54839"/>
  <c r="R37" i="54839"/>
  <c r="J31" i="54848"/>
  <c r="F114" i="101"/>
  <c r="E114" i="101"/>
  <c r="K6" i="54848"/>
  <c r="K27" i="54848"/>
  <c r="J33" i="54848"/>
  <c r="G113" i="54856"/>
  <c r="J12" i="54856"/>
  <c r="L21" i="54848"/>
  <c r="L23" i="54848"/>
  <c r="H113" i="54856"/>
  <c r="G114" i="101"/>
  <c r="H114" i="101"/>
  <c r="R59" i="54839"/>
  <c r="R39" i="54839"/>
  <c r="J58" i="54843"/>
  <c r="B311" i="101"/>
  <c r="C310" i="101"/>
  <c r="J14" i="54856"/>
  <c r="L24" i="54848"/>
  <c r="D114" i="54856"/>
  <c r="J65" i="54843"/>
  <c r="J59" i="54843"/>
  <c r="J60" i="54843"/>
  <c r="D31" i="54841"/>
  <c r="R42" i="54839"/>
  <c r="R45" i="54839"/>
  <c r="D115" i="101"/>
  <c r="B312" i="101"/>
  <c r="C311" i="101"/>
  <c r="F114" i="54856"/>
  <c r="E114" i="54856"/>
  <c r="R47" i="54839"/>
  <c r="R44" i="54839"/>
  <c r="T43" i="54839"/>
  <c r="F31" i="54841"/>
  <c r="F115" i="101"/>
  <c r="E115" i="101"/>
  <c r="R46" i="54839"/>
  <c r="R48" i="54839"/>
  <c r="B313" i="101"/>
  <c r="C312" i="101"/>
  <c r="G114" i="54856"/>
  <c r="H114" i="54856"/>
  <c r="R52" i="54839"/>
  <c r="J8" i="54843"/>
  <c r="J25" i="54843"/>
  <c r="J7" i="54843"/>
  <c r="J23" i="54843"/>
  <c r="D14" i="54841"/>
  <c r="J22" i="54843"/>
  <c r="G115" i="101"/>
  <c r="H115" i="101"/>
  <c r="B314" i="101"/>
  <c r="C313" i="101"/>
  <c r="D115" i="54856"/>
  <c r="F14" i="54841"/>
  <c r="J14" i="54843"/>
  <c r="J75" i="54843"/>
  <c r="J28" i="54843"/>
  <c r="J76" i="54843"/>
  <c r="J77" i="54843"/>
  <c r="J9" i="54843"/>
  <c r="R53" i="54839"/>
  <c r="B315" i="101"/>
  <c r="C314" i="101"/>
  <c r="D116" i="101"/>
  <c r="F115" i="54856"/>
  <c r="E115" i="54856"/>
  <c r="J29" i="54843"/>
  <c r="J47" i="54843"/>
  <c r="J35" i="54843"/>
  <c r="J41" i="54843"/>
  <c r="J82" i="54843"/>
  <c r="F116" i="101"/>
  <c r="E116" i="101"/>
  <c r="B316" i="101"/>
  <c r="C315" i="101"/>
  <c r="G115" i="54856"/>
  <c r="H115" i="54856"/>
  <c r="J43" i="54843"/>
  <c r="J45" i="54843"/>
  <c r="J46" i="54843"/>
  <c r="J44" i="54843"/>
  <c r="J42" i="54843"/>
  <c r="J49" i="54843"/>
  <c r="J51" i="54843"/>
  <c r="J52" i="54843"/>
  <c r="J50" i="54843"/>
  <c r="J48" i="54843"/>
  <c r="J39" i="54843"/>
  <c r="J40" i="54843"/>
  <c r="J37" i="54843"/>
  <c r="J36" i="54843"/>
  <c r="J38" i="54843"/>
  <c r="J33" i="54843"/>
  <c r="J34" i="54843"/>
  <c r="J31" i="54843"/>
  <c r="J32" i="54843"/>
  <c r="J30" i="54843"/>
  <c r="B317" i="101"/>
  <c r="C316" i="101"/>
  <c r="G116" i="101"/>
  <c r="H116" i="101"/>
  <c r="D116" i="54856"/>
  <c r="D117" i="101"/>
  <c r="B318" i="101"/>
  <c r="C317" i="101"/>
  <c r="F116" i="54856"/>
  <c r="E116" i="54856"/>
  <c r="B319" i="101"/>
  <c r="C318" i="101"/>
  <c r="F117" i="101"/>
  <c r="E117" i="101"/>
  <c r="G116" i="54856"/>
  <c r="H116" i="54856"/>
  <c r="G117" i="101"/>
  <c r="H117" i="101"/>
  <c r="B320" i="101"/>
  <c r="C319" i="101"/>
  <c r="D117" i="54856"/>
  <c r="D118" i="101"/>
  <c r="B321" i="101"/>
  <c r="C320" i="101"/>
  <c r="F117" i="54856"/>
  <c r="E117" i="54856"/>
  <c r="B322" i="101"/>
  <c r="C321" i="101"/>
  <c r="F118" i="101"/>
  <c r="E118" i="101"/>
  <c r="G117" i="54856"/>
  <c r="H117" i="54856"/>
  <c r="B323" i="101"/>
  <c r="C322" i="101"/>
  <c r="G118" i="101"/>
  <c r="H118" i="101"/>
  <c r="D118" i="54856"/>
  <c r="D119" i="101"/>
  <c r="B324" i="101"/>
  <c r="C323" i="101"/>
  <c r="F118" i="54856"/>
  <c r="E118" i="54856"/>
  <c r="B325" i="101"/>
  <c r="C324" i="101"/>
  <c r="F119" i="101"/>
  <c r="E119" i="101"/>
  <c r="G118" i="54856"/>
  <c r="H118" i="54856"/>
  <c r="G119" i="101"/>
  <c r="H119" i="101"/>
  <c r="B326" i="101"/>
  <c r="C325" i="101"/>
  <c r="D119" i="54856"/>
  <c r="D120" i="101"/>
  <c r="B327" i="101"/>
  <c r="C326" i="101"/>
  <c r="F119" i="54856"/>
  <c r="E119" i="54856"/>
  <c r="B328" i="101"/>
  <c r="C327" i="101"/>
  <c r="F120" i="101"/>
  <c r="E120" i="101"/>
  <c r="G119" i="54856"/>
  <c r="H119" i="54856"/>
  <c r="B329" i="101"/>
  <c r="C328" i="101"/>
  <c r="G120" i="101"/>
  <c r="H120" i="101"/>
  <c r="D120" i="54856"/>
  <c r="D121" i="101"/>
  <c r="B330" i="101"/>
  <c r="C329" i="101"/>
  <c r="F120" i="54856"/>
  <c r="E120" i="54856"/>
  <c r="F121" i="101"/>
  <c r="E121" i="101"/>
  <c r="B331" i="101"/>
  <c r="C330" i="101"/>
  <c r="G120" i="54856"/>
  <c r="H120" i="54856"/>
  <c r="B332" i="101"/>
  <c r="C331" i="101"/>
  <c r="G121" i="101"/>
  <c r="H121" i="101"/>
  <c r="D121" i="54856"/>
  <c r="D122" i="101"/>
  <c r="B333" i="101"/>
  <c r="C332" i="101"/>
  <c r="F121" i="54856"/>
  <c r="E121" i="54856"/>
  <c r="B334" i="101"/>
  <c r="C333" i="101"/>
  <c r="F122" i="101"/>
  <c r="E122" i="101"/>
  <c r="G121" i="54856"/>
  <c r="H121" i="54856"/>
  <c r="B335" i="101"/>
  <c r="C334" i="101"/>
  <c r="G122" i="101"/>
  <c r="H122" i="101"/>
  <c r="D122" i="54856"/>
  <c r="D123" i="101"/>
  <c r="B336" i="101"/>
  <c r="C335" i="101"/>
  <c r="F122" i="54856"/>
  <c r="E122" i="54856"/>
  <c r="F123" i="101"/>
  <c r="E123" i="101"/>
  <c r="B337" i="101"/>
  <c r="C336" i="101"/>
  <c r="G122" i="54856"/>
  <c r="H122" i="54856"/>
  <c r="B338" i="101"/>
  <c r="C337" i="101"/>
  <c r="G123" i="101"/>
  <c r="H123" i="101"/>
  <c r="D123" i="54856"/>
  <c r="D124" i="101"/>
  <c r="B339" i="101"/>
  <c r="C338" i="101"/>
  <c r="F123" i="54856"/>
  <c r="E123" i="54856"/>
  <c r="B340" i="101"/>
  <c r="C339" i="101"/>
  <c r="F124" i="101"/>
  <c r="E124" i="101"/>
  <c r="G123" i="54856"/>
  <c r="H123" i="54856"/>
  <c r="B341" i="101"/>
  <c r="C340" i="101"/>
  <c r="G124" i="101"/>
  <c r="H124" i="101"/>
  <c r="D124" i="54856"/>
  <c r="D125" i="101"/>
  <c r="B342" i="101"/>
  <c r="C341" i="101"/>
  <c r="F124" i="54856"/>
  <c r="E124" i="54856"/>
  <c r="F125" i="101"/>
  <c r="E125" i="101"/>
  <c r="K13" i="101"/>
  <c r="K8" i="54848"/>
  <c r="K28" i="54848"/>
  <c r="B343" i="101"/>
  <c r="C342" i="101"/>
  <c r="G124" i="54856"/>
  <c r="H124" i="54856"/>
  <c r="B344" i="101"/>
  <c r="C343" i="101"/>
  <c r="K29" i="54848"/>
  <c r="T36" i="54839"/>
  <c r="G125" i="101"/>
  <c r="K12" i="101"/>
  <c r="K7" i="54848"/>
  <c r="H125" i="101"/>
  <c r="D125" i="54856"/>
  <c r="K14" i="101"/>
  <c r="K10" i="54848"/>
  <c r="D126" i="101"/>
  <c r="K9" i="54848"/>
  <c r="K32" i="54848"/>
  <c r="K30" i="54848"/>
  <c r="B345" i="101"/>
  <c r="C344" i="101"/>
  <c r="F125" i="54856"/>
  <c r="E125" i="54856"/>
  <c r="K13" i="54856"/>
  <c r="K31" i="54848"/>
  <c r="T35" i="54839"/>
  <c r="T37" i="54839"/>
  <c r="B346" i="101"/>
  <c r="C345" i="101"/>
  <c r="F126" i="101"/>
  <c r="E126" i="101"/>
  <c r="L6" i="54848"/>
  <c r="L27" i="54848"/>
  <c r="K33" i="54848"/>
  <c r="G125" i="54856"/>
  <c r="K12" i="54856"/>
  <c r="H125" i="54856"/>
  <c r="B347" i="101"/>
  <c r="C346" i="101"/>
  <c r="G126" i="101"/>
  <c r="H126" i="101"/>
  <c r="T59" i="54839"/>
  <c r="T39" i="54839"/>
  <c r="K58" i="54843"/>
  <c r="K14" i="54856"/>
  <c r="D126" i="54856"/>
  <c r="K59" i="54843"/>
  <c r="K60" i="54843"/>
  <c r="D32" i="54841"/>
  <c r="K65" i="54843"/>
  <c r="T42" i="54839"/>
  <c r="T45" i="54839"/>
  <c r="D127" i="101"/>
  <c r="B348" i="101"/>
  <c r="C347" i="101"/>
  <c r="F126" i="54856"/>
  <c r="E126" i="54856"/>
  <c r="T47" i="54839"/>
  <c r="T44" i="54839"/>
  <c r="V43" i="54839"/>
  <c r="F32" i="54841"/>
  <c r="F127" i="101"/>
  <c r="E127" i="101"/>
  <c r="T46" i="54839"/>
  <c r="T48" i="54839"/>
  <c r="B349" i="101"/>
  <c r="C348" i="101"/>
  <c r="G126" i="54856"/>
  <c r="H126" i="54856"/>
  <c r="T52" i="54839"/>
  <c r="K8" i="54843"/>
  <c r="K25" i="54843"/>
  <c r="D15" i="54841"/>
  <c r="K7" i="54843"/>
  <c r="K22" i="54843"/>
  <c r="K23" i="54843"/>
  <c r="G127" i="101"/>
  <c r="H127" i="101"/>
  <c r="B350" i="101"/>
  <c r="C349" i="101"/>
  <c r="D127" i="54856"/>
  <c r="K28" i="54843"/>
  <c r="K75" i="54843"/>
  <c r="K14" i="54843"/>
  <c r="F15" i="54841"/>
  <c r="K76" i="54843"/>
  <c r="K77" i="54843"/>
  <c r="K9" i="54843"/>
  <c r="T53" i="54839"/>
  <c r="D128" i="101"/>
  <c r="B351" i="101"/>
  <c r="C350" i="101"/>
  <c r="F127" i="54856"/>
  <c r="E127" i="54856"/>
  <c r="K82" i="54843"/>
  <c r="K35" i="54843"/>
  <c r="K29" i="54843"/>
  <c r="K41" i="54843"/>
  <c r="K47" i="54843"/>
  <c r="B352" i="101"/>
  <c r="C351" i="101"/>
  <c r="F128" i="101"/>
  <c r="E128" i="101"/>
  <c r="G127" i="54856"/>
  <c r="H127" i="54856"/>
  <c r="K43" i="54843"/>
  <c r="K45" i="54843"/>
  <c r="K46" i="54843"/>
  <c r="K42" i="54843"/>
  <c r="K44" i="54843"/>
  <c r="K52" i="54843"/>
  <c r="K49" i="54843"/>
  <c r="K51" i="54843"/>
  <c r="K50" i="54843"/>
  <c r="K48" i="54843"/>
  <c r="K34" i="54843"/>
  <c r="K31" i="54843"/>
  <c r="K33" i="54843"/>
  <c r="K30" i="54843"/>
  <c r="K32" i="54843"/>
  <c r="K40" i="54843"/>
  <c r="K37" i="54843"/>
  <c r="K39" i="54843"/>
  <c r="K36" i="54843"/>
  <c r="K38" i="54843"/>
  <c r="B353" i="101"/>
  <c r="C352" i="101"/>
  <c r="G128" i="101"/>
  <c r="H128" i="101"/>
  <c r="D128" i="54856"/>
  <c r="D129" i="101"/>
  <c r="B354" i="101"/>
  <c r="C353" i="101"/>
  <c r="F128" i="54856"/>
  <c r="E128" i="54856"/>
  <c r="F129" i="101"/>
  <c r="E129" i="101"/>
  <c r="B355" i="101"/>
  <c r="C354" i="101"/>
  <c r="G128" i="54856"/>
  <c r="H128" i="54856"/>
  <c r="B356" i="101"/>
  <c r="C355" i="101"/>
  <c r="G129" i="101"/>
  <c r="H129" i="101"/>
  <c r="D129" i="54856"/>
  <c r="D130" i="101"/>
  <c r="B357" i="101"/>
  <c r="C356" i="101"/>
  <c r="F129" i="54856"/>
  <c r="E129" i="54856"/>
  <c r="B358" i="101"/>
  <c r="C357" i="101"/>
  <c r="F130" i="101"/>
  <c r="E130" i="101"/>
  <c r="G129" i="54856"/>
  <c r="H129" i="54856"/>
  <c r="G130" i="101"/>
  <c r="H130" i="101"/>
  <c r="B359" i="101"/>
  <c r="C358" i="101"/>
  <c r="D130" i="54856"/>
  <c r="B360" i="101"/>
  <c r="C359" i="101"/>
  <c r="D131" i="101"/>
  <c r="F130" i="54856"/>
  <c r="E130" i="54856"/>
  <c r="F131" i="101"/>
  <c r="E131" i="101"/>
  <c r="B361" i="101"/>
  <c r="C360" i="101"/>
  <c r="G130" i="54856"/>
  <c r="H130" i="54856"/>
  <c r="B362" i="101"/>
  <c r="C361" i="101"/>
  <c r="G131" i="101"/>
  <c r="H131" i="101"/>
  <c r="D131" i="54856"/>
  <c r="D132" i="101"/>
  <c r="B363" i="101"/>
  <c r="C362" i="101"/>
  <c r="F131" i="54856"/>
  <c r="E131" i="54856"/>
  <c r="B364" i="101"/>
  <c r="C363" i="101"/>
  <c r="F132" i="101"/>
  <c r="E132" i="101"/>
  <c r="G131" i="54856"/>
  <c r="H131" i="54856"/>
  <c r="G132" i="101"/>
  <c r="H132" i="101"/>
  <c r="B365" i="101"/>
  <c r="C364" i="101"/>
  <c r="D132" i="54856"/>
  <c r="D133" i="101"/>
  <c r="B366" i="101"/>
  <c r="C365" i="101"/>
  <c r="F132" i="54856"/>
  <c r="E132" i="54856"/>
  <c r="B367" i="101"/>
  <c r="C366" i="101"/>
  <c r="F133" i="101"/>
  <c r="E133" i="101"/>
  <c r="G132" i="54856"/>
  <c r="H132" i="54856"/>
  <c r="B368" i="101"/>
  <c r="C367" i="101"/>
  <c r="G133" i="101"/>
  <c r="H133" i="101"/>
  <c r="D133" i="54856"/>
  <c r="B369" i="101"/>
  <c r="C368" i="101"/>
  <c r="D134" i="101"/>
  <c r="F133" i="54856"/>
  <c r="E133" i="54856"/>
  <c r="F134" i="101"/>
  <c r="E134" i="101"/>
  <c r="B370" i="101"/>
  <c r="C369" i="101"/>
  <c r="G133" i="54856"/>
  <c r="H133" i="54856"/>
  <c r="G134" i="101"/>
  <c r="H134" i="101"/>
  <c r="B371" i="101"/>
  <c r="C370" i="101"/>
  <c r="D134" i="54856"/>
  <c r="B372" i="101"/>
  <c r="C371" i="101"/>
  <c r="D135" i="101"/>
  <c r="F134" i="54856"/>
  <c r="E134" i="54856"/>
  <c r="F135" i="101"/>
  <c r="E135" i="101"/>
  <c r="B373" i="101"/>
  <c r="C372" i="101"/>
  <c r="G134" i="54856"/>
  <c r="H134" i="54856"/>
  <c r="B374" i="101"/>
  <c r="C373" i="101"/>
  <c r="G135" i="101"/>
  <c r="H135" i="101"/>
  <c r="D135" i="54856"/>
  <c r="D136" i="101"/>
  <c r="B375" i="101"/>
  <c r="C374" i="101"/>
  <c r="F135" i="54856"/>
  <c r="E135" i="54856"/>
  <c r="B376" i="101"/>
  <c r="C375" i="101"/>
  <c r="F136" i="101"/>
  <c r="E136" i="101"/>
  <c r="G135" i="54856"/>
  <c r="H135" i="54856"/>
  <c r="B377" i="101"/>
  <c r="C376" i="101"/>
  <c r="G136" i="101"/>
  <c r="H136" i="101"/>
  <c r="D136" i="54856"/>
  <c r="D137" i="101"/>
  <c r="B378" i="101"/>
  <c r="C377" i="101"/>
  <c r="F136" i="54856"/>
  <c r="E136" i="54856"/>
  <c r="C378" i="101"/>
  <c r="G378" i="101"/>
  <c r="F378" i="101"/>
  <c r="E378" i="101"/>
  <c r="D378" i="101"/>
  <c r="H378" i="101"/>
  <c r="F137" i="101"/>
  <c r="E137" i="101"/>
  <c r="L13" i="101"/>
  <c r="L8" i="54848"/>
  <c r="L28" i="54848"/>
  <c r="G136" i="54856"/>
  <c r="H136" i="54856"/>
  <c r="V36" i="54839"/>
  <c r="L29" i="54848"/>
  <c r="G137" i="101"/>
  <c r="L12" i="101"/>
  <c r="L7" i="54848"/>
  <c r="H137" i="101"/>
  <c r="D137" i="54856"/>
  <c r="L14" i="101"/>
  <c r="L10" i="54848"/>
  <c r="L33" i="54848"/>
  <c r="H13" i="54840"/>
  <c r="H14" i="54840"/>
  <c r="H16" i="54840"/>
  <c r="D138" i="101"/>
  <c r="L9" i="54848"/>
  <c r="L32" i="54848"/>
  <c r="L30" i="54848"/>
  <c r="F137" i="54856"/>
  <c r="E137" i="54856"/>
  <c r="L13" i="54856"/>
  <c r="L31" i="54848"/>
  <c r="H17" i="54840"/>
  <c r="H18" i="54840"/>
  <c r="V35" i="54839"/>
  <c r="V37" i="54839"/>
  <c r="F138" i="101"/>
  <c r="E138" i="101"/>
  <c r="H19" i="54840"/>
  <c r="H26" i="54843"/>
  <c r="G137" i="54856"/>
  <c r="L12" i="54856"/>
  <c r="H137" i="54856"/>
  <c r="F26" i="54843"/>
  <c r="G26" i="54843"/>
  <c r="I26" i="54843"/>
  <c r="L26" i="54843"/>
  <c r="H20" i="54840"/>
  <c r="I78" i="54843"/>
  <c r="I10" i="54843"/>
  <c r="G138" i="101"/>
  <c r="H138" i="101"/>
  <c r="V59" i="54839"/>
  <c r="V39" i="54839"/>
  <c r="L58" i="54843"/>
  <c r="H21" i="54840"/>
  <c r="H27" i="54843"/>
  <c r="L14" i="54856"/>
  <c r="D138" i="54856"/>
  <c r="H10" i="54843"/>
  <c r="H78" i="54843"/>
  <c r="H82" i="54843"/>
  <c r="H28" i="54843"/>
  <c r="F27" i="54843"/>
  <c r="F28" i="54843"/>
  <c r="G27" i="54843"/>
  <c r="G10" i="54843"/>
  <c r="I11" i="54843"/>
  <c r="G78" i="54843"/>
  <c r="G82" i="54843"/>
  <c r="G28" i="54843"/>
  <c r="F78" i="54843"/>
  <c r="F10" i="54843"/>
  <c r="H22" i="54840"/>
  <c r="H27" i="54840"/>
  <c r="H26" i="54840"/>
  <c r="M26" i="54843"/>
  <c r="I27" i="54843"/>
  <c r="I28" i="54843"/>
  <c r="L27" i="54843"/>
  <c r="J11" i="54843"/>
  <c r="D33" i="54841"/>
  <c r="L59" i="54843"/>
  <c r="L60" i="54843"/>
  <c r="N68" i="54843"/>
  <c r="M58" i="54843"/>
  <c r="L78" i="54843"/>
  <c r="L10" i="54843"/>
  <c r="D139" i="101"/>
  <c r="E13" i="54841"/>
  <c r="I14" i="54843"/>
  <c r="I82" i="54843"/>
  <c r="V42" i="54839"/>
  <c r="V45" i="54839"/>
  <c r="V44" i="54839"/>
  <c r="F138" i="54856"/>
  <c r="E138" i="54856"/>
  <c r="I79" i="54843"/>
  <c r="K79" i="54843"/>
  <c r="J79" i="54843"/>
  <c r="K11" i="54843"/>
  <c r="I61" i="54843"/>
  <c r="E30" i="54841"/>
  <c r="E11" i="54841"/>
  <c r="F11" i="54841"/>
  <c r="E12" i="54841"/>
  <c r="F12" i="54841"/>
  <c r="H41" i="54843"/>
  <c r="H35" i="54843"/>
  <c r="H47" i="54843"/>
  <c r="H29" i="54843"/>
  <c r="G79" i="54843"/>
  <c r="H79" i="54843"/>
  <c r="G11" i="54843"/>
  <c r="H11" i="54843"/>
  <c r="M78" i="54843"/>
  <c r="H61" i="54843"/>
  <c r="H14" i="54843"/>
  <c r="M10" i="54843"/>
  <c r="V47" i="54839"/>
  <c r="G29" i="54843"/>
  <c r="G34" i="54843"/>
  <c r="G47" i="54843"/>
  <c r="G52" i="54843"/>
  <c r="G35" i="54843"/>
  <c r="G41" i="54843"/>
  <c r="G61" i="54843"/>
  <c r="G14" i="54843"/>
  <c r="E16" i="54841"/>
  <c r="E10" i="54841"/>
  <c r="F10" i="54841"/>
  <c r="F61" i="54843"/>
  <c r="J62" i="54843"/>
  <c r="F11" i="54843"/>
  <c r="F14" i="54843"/>
  <c r="F29" i="54843"/>
  <c r="F47" i="54843"/>
  <c r="F35" i="54843"/>
  <c r="F41" i="54843"/>
  <c r="F79" i="54843"/>
  <c r="F82" i="54843"/>
  <c r="M27" i="54843"/>
  <c r="L61" i="54843"/>
  <c r="L65" i="54843"/>
  <c r="V46" i="54839"/>
  <c r="V48" i="54839"/>
  <c r="D34" i="54841"/>
  <c r="F13" i="54841"/>
  <c r="F139" i="101"/>
  <c r="E139" i="101"/>
  <c r="I35" i="54843"/>
  <c r="I47" i="54843"/>
  <c r="I29" i="54843"/>
  <c r="I41" i="54843"/>
  <c r="G138" i="54856"/>
  <c r="H138" i="54856"/>
  <c r="I65" i="54843"/>
  <c r="K62" i="54843"/>
  <c r="I62" i="54843"/>
  <c r="H31" i="54843"/>
  <c r="H30" i="54843"/>
  <c r="H32" i="54843"/>
  <c r="H33" i="54843"/>
  <c r="H34" i="54843"/>
  <c r="H50" i="54843"/>
  <c r="H48" i="54843"/>
  <c r="H49" i="54843"/>
  <c r="H51" i="54843"/>
  <c r="H52" i="54843"/>
  <c r="E29" i="54841"/>
  <c r="F29" i="54841"/>
  <c r="H65" i="54843"/>
  <c r="H36" i="54843"/>
  <c r="H37" i="54843"/>
  <c r="H38" i="54843"/>
  <c r="H39" i="54843"/>
  <c r="H40" i="54843"/>
  <c r="H43" i="54843"/>
  <c r="H44" i="54843"/>
  <c r="H42" i="54843"/>
  <c r="H45" i="54843"/>
  <c r="H46" i="54843"/>
  <c r="G62" i="54843"/>
  <c r="H62" i="54843"/>
  <c r="G65" i="54843"/>
  <c r="E28" i="54841"/>
  <c r="F28" i="54841"/>
  <c r="G44" i="54843"/>
  <c r="G43" i="54843"/>
  <c r="G42" i="54843"/>
  <c r="G45" i="54843"/>
  <c r="G36" i="54843"/>
  <c r="G37" i="54843"/>
  <c r="G38" i="54843"/>
  <c r="G39" i="54843"/>
  <c r="G48" i="54843"/>
  <c r="G50" i="54843"/>
  <c r="G49" i="54843"/>
  <c r="G51" i="54843"/>
  <c r="G31" i="54843"/>
  <c r="G30" i="54843"/>
  <c r="G32" i="54843"/>
  <c r="G33" i="54843"/>
  <c r="G40" i="54843"/>
  <c r="E17" i="54841"/>
  <c r="G46" i="54843"/>
  <c r="F30" i="54843"/>
  <c r="F31" i="54843"/>
  <c r="F32" i="54843"/>
  <c r="F33" i="54843"/>
  <c r="F34" i="54843"/>
  <c r="F36" i="54843"/>
  <c r="F38" i="54843"/>
  <c r="F37" i="54843"/>
  <c r="F39" i="54843"/>
  <c r="F40" i="54843"/>
  <c r="F48" i="54843"/>
  <c r="F50" i="54843"/>
  <c r="F49" i="54843"/>
  <c r="F51" i="54843"/>
  <c r="F52" i="54843"/>
  <c r="M61" i="54843"/>
  <c r="E27" i="54841"/>
  <c r="F27" i="54841"/>
  <c r="F62" i="54843"/>
  <c r="F65" i="54843"/>
  <c r="F42" i="54843"/>
  <c r="F43" i="54843"/>
  <c r="F44" i="54843"/>
  <c r="F45" i="54843"/>
  <c r="F46" i="54843"/>
  <c r="E33" i="54841"/>
  <c r="F33" i="54841"/>
  <c r="L62" i="54843"/>
  <c r="V52" i="54839"/>
  <c r="L8" i="54843"/>
  <c r="L22" i="54843"/>
  <c r="L7" i="54843"/>
  <c r="D16" i="54841"/>
  <c r="L23" i="54843"/>
  <c r="L25" i="54843"/>
  <c r="G139" i="101"/>
  <c r="H139" i="101"/>
  <c r="I31" i="54843"/>
  <c r="I30" i="54843"/>
  <c r="I32" i="54843"/>
  <c r="I33" i="54843"/>
  <c r="I34" i="54843"/>
  <c r="I49" i="54843"/>
  <c r="I48" i="54843"/>
  <c r="I50" i="54843"/>
  <c r="I51" i="54843"/>
  <c r="I52" i="54843"/>
  <c r="I43" i="54843"/>
  <c r="I44" i="54843"/>
  <c r="I42" i="54843"/>
  <c r="I45" i="54843"/>
  <c r="I46" i="54843"/>
  <c r="I37" i="54843"/>
  <c r="I38" i="54843"/>
  <c r="I36" i="54843"/>
  <c r="I39" i="54843"/>
  <c r="I40" i="54843"/>
  <c r="F30" i="54841"/>
  <c r="D139" i="54856"/>
  <c r="M65" i="54843"/>
  <c r="N65" i="54843"/>
  <c r="F35" i="54841"/>
  <c r="N67" i="54843"/>
  <c r="N66" i="54843"/>
  <c r="E34" i="54841"/>
  <c r="F34" i="54841"/>
  <c r="L75" i="54843"/>
  <c r="L14" i="54843"/>
  <c r="L11" i="54843"/>
  <c r="M7" i="54843"/>
  <c r="M14" i="54843"/>
  <c r="N14" i="54843"/>
  <c r="F16" i="54841"/>
  <c r="F18" i="54841"/>
  <c r="D17" i="54841"/>
  <c r="F17" i="54841"/>
  <c r="L28" i="54843"/>
  <c r="M22" i="54843"/>
  <c r="M28" i="54843"/>
  <c r="M23" i="54843"/>
  <c r="L76" i="54843"/>
  <c r="L77" i="54843"/>
  <c r="N85" i="54843"/>
  <c r="L9" i="54843"/>
  <c r="M25" i="54843"/>
  <c r="D140" i="101"/>
  <c r="F139" i="54856"/>
  <c r="E139" i="54856"/>
  <c r="L29" i="54843"/>
  <c r="L47" i="54843"/>
  <c r="L41" i="54843"/>
  <c r="L35" i="54843"/>
  <c r="V53" i="54839"/>
  <c r="N17" i="54843"/>
  <c r="D37" i="16"/>
  <c r="L82" i="54843"/>
  <c r="M82" i="54843"/>
  <c r="N82" i="54843"/>
  <c r="M75" i="54843"/>
  <c r="L79" i="54843"/>
  <c r="D50" i="16"/>
  <c r="N16" i="54843"/>
  <c r="N15" i="54843"/>
  <c r="D48" i="16"/>
  <c r="D5" i="54858"/>
  <c r="E5" i="54858"/>
  <c r="N84" i="54843"/>
  <c r="F140" i="101"/>
  <c r="E140" i="101"/>
  <c r="G139" i="54856"/>
  <c r="H139" i="54856"/>
  <c r="N83" i="54843"/>
  <c r="H29" i="54840"/>
  <c r="D9" i="54858"/>
  <c r="E9" i="54858"/>
  <c r="L37" i="54843"/>
  <c r="M37" i="54843"/>
  <c r="L39" i="54843"/>
  <c r="M39" i="54843"/>
  <c r="L40" i="54843"/>
  <c r="M40" i="54843"/>
  <c r="M35" i="54843"/>
  <c r="L38" i="54843"/>
  <c r="M38" i="54843"/>
  <c r="L36" i="54843"/>
  <c r="M36" i="54843"/>
  <c r="G48" i="16"/>
  <c r="O15" i="54843"/>
  <c r="L43" i="54843"/>
  <c r="M43" i="54843"/>
  <c r="L45" i="54843"/>
  <c r="M45" i="54843"/>
  <c r="L46" i="54843"/>
  <c r="M46" i="54843"/>
  <c r="M41" i="54843"/>
  <c r="L42" i="54843"/>
  <c r="M42" i="54843"/>
  <c r="L44" i="54843"/>
  <c r="M44" i="54843"/>
  <c r="D6" i="54858"/>
  <c r="E6" i="54858"/>
  <c r="H28" i="54840"/>
  <c r="L49" i="54843"/>
  <c r="M49" i="54843"/>
  <c r="L51" i="54843"/>
  <c r="M51" i="54843"/>
  <c r="L52" i="54843"/>
  <c r="M52" i="54843"/>
  <c r="M47" i="54843"/>
  <c r="L48" i="54843"/>
  <c r="M48" i="54843"/>
  <c r="L50" i="54843"/>
  <c r="M50" i="54843"/>
  <c r="L31" i="54843"/>
  <c r="M31" i="54843"/>
  <c r="L33" i="54843"/>
  <c r="M33" i="54843"/>
  <c r="L34" i="54843"/>
  <c r="M34" i="54843"/>
  <c r="M29" i="54843"/>
  <c r="L32" i="54843"/>
  <c r="M32" i="54843"/>
  <c r="L30" i="54843"/>
  <c r="M30" i="54843"/>
  <c r="G140" i="101"/>
  <c r="H140" i="101"/>
  <c r="D140" i="54856"/>
  <c r="G37" i="16"/>
  <c r="O17" i="54843"/>
  <c r="I29" i="54840"/>
  <c r="I28" i="54840"/>
  <c r="G50" i="16"/>
  <c r="G18" i="54841"/>
  <c r="O16" i="54843"/>
  <c r="D141" i="101"/>
  <c r="F140" i="54856"/>
  <c r="E140" i="54856"/>
  <c r="F141" i="101"/>
  <c r="E141" i="101"/>
  <c r="G140" i="54856"/>
  <c r="H140" i="54856"/>
  <c r="G141" i="101"/>
  <c r="H141" i="101"/>
  <c r="D141" i="54856"/>
  <c r="D142" i="101"/>
  <c r="F141" i="54856"/>
  <c r="E141" i="54856"/>
  <c r="F142" i="101"/>
  <c r="E142" i="101"/>
  <c r="G141" i="54856"/>
  <c r="H141" i="54856"/>
  <c r="G142" i="101"/>
  <c r="H142" i="101"/>
  <c r="D142" i="54856"/>
  <c r="D143" i="101"/>
  <c r="F142" i="54856"/>
  <c r="E142" i="54856"/>
  <c r="F143" i="101"/>
  <c r="E143" i="101"/>
  <c r="G142" i="54856"/>
  <c r="H142" i="54856"/>
  <c r="G143" i="101"/>
  <c r="H143" i="101"/>
  <c r="D143" i="54856"/>
  <c r="D144" i="101"/>
  <c r="F143" i="54856"/>
  <c r="E143" i="54856"/>
  <c r="F144" i="101"/>
  <c r="E144" i="101"/>
  <c r="G143" i="54856"/>
  <c r="H143" i="54856"/>
  <c r="G144" i="101"/>
  <c r="H144" i="101"/>
  <c r="D144" i="54856"/>
  <c r="D145" i="101"/>
  <c r="F144" i="54856"/>
  <c r="E144" i="54856"/>
  <c r="F145" i="101"/>
  <c r="E145" i="101"/>
  <c r="G144" i="54856"/>
  <c r="H144" i="54856"/>
  <c r="G145" i="101"/>
  <c r="H145" i="101"/>
  <c r="D145" i="54856"/>
  <c r="D146" i="101"/>
  <c r="F145" i="54856"/>
  <c r="E145" i="54856"/>
  <c r="F146" i="101"/>
  <c r="E146" i="101"/>
  <c r="G145" i="54856"/>
  <c r="H145" i="54856"/>
  <c r="G146" i="101"/>
  <c r="H146" i="101"/>
  <c r="D146" i="54856"/>
  <c r="D147" i="101"/>
  <c r="F146" i="54856"/>
  <c r="E146" i="54856"/>
  <c r="F147" i="101"/>
  <c r="E147" i="101"/>
  <c r="G146" i="54856"/>
  <c r="H146" i="54856"/>
  <c r="G147" i="101"/>
  <c r="H147" i="101"/>
  <c r="D147" i="54856"/>
  <c r="D148" i="101"/>
  <c r="F147" i="54856"/>
  <c r="E147" i="54856"/>
  <c r="F148" i="101"/>
  <c r="E148" i="101"/>
  <c r="G147" i="54856"/>
  <c r="H147" i="54856"/>
  <c r="G148" i="101"/>
  <c r="H148" i="101"/>
  <c r="D148" i="54856"/>
  <c r="D149" i="101"/>
  <c r="F148" i="54856"/>
  <c r="E148" i="54856"/>
  <c r="F149" i="101"/>
  <c r="E149" i="101"/>
  <c r="G148" i="54856"/>
  <c r="H148" i="54856"/>
  <c r="G149" i="101"/>
  <c r="H149" i="101"/>
  <c r="D149" i="54856"/>
  <c r="D150" i="101"/>
  <c r="F149" i="54856"/>
  <c r="E149" i="54856"/>
  <c r="F150" i="101"/>
  <c r="E150" i="101"/>
  <c r="G149" i="54856"/>
  <c r="H149" i="54856"/>
  <c r="G150" i="101"/>
  <c r="H150" i="101"/>
  <c r="D150" i="54856"/>
  <c r="D151" i="101"/>
  <c r="F150" i="54856"/>
  <c r="E150" i="54856"/>
  <c r="F151" i="101"/>
  <c r="E151" i="101"/>
  <c r="G150" i="54856"/>
  <c r="H150" i="54856"/>
  <c r="G151" i="101"/>
  <c r="H151" i="101"/>
  <c r="D151" i="54856"/>
  <c r="D152" i="101"/>
  <c r="F151" i="54856"/>
  <c r="E151" i="54856"/>
  <c r="F152" i="101"/>
  <c r="E152" i="101"/>
  <c r="G151" i="54856"/>
  <c r="H151" i="54856"/>
  <c r="G152" i="101"/>
  <c r="H152" i="101"/>
  <c r="D152" i="54856"/>
  <c r="D153" i="101"/>
  <c r="F152" i="54856"/>
  <c r="E152" i="54856"/>
  <c r="F153" i="101"/>
  <c r="E153" i="101"/>
  <c r="G152" i="54856"/>
  <c r="H152" i="54856"/>
  <c r="G153" i="101"/>
  <c r="H153" i="101"/>
  <c r="D153" i="54856"/>
  <c r="D154" i="101"/>
  <c r="F153" i="54856"/>
  <c r="E153" i="54856"/>
  <c r="F154" i="101"/>
  <c r="E154" i="101"/>
  <c r="G153" i="54856"/>
  <c r="H153" i="54856"/>
  <c r="G154" i="101"/>
  <c r="H154" i="101"/>
  <c r="D154" i="54856"/>
  <c r="D155" i="101"/>
  <c r="F154" i="54856"/>
  <c r="E154" i="54856"/>
  <c r="F155" i="101"/>
  <c r="E155" i="101"/>
  <c r="G154" i="54856"/>
  <c r="H154" i="54856"/>
  <c r="G155" i="101"/>
  <c r="H155" i="101"/>
  <c r="D155" i="54856"/>
  <c r="D156" i="101"/>
  <c r="F155" i="54856"/>
  <c r="E155" i="54856"/>
  <c r="F156" i="101"/>
  <c r="E156" i="101"/>
  <c r="G155" i="54856"/>
  <c r="H155" i="54856"/>
  <c r="G156" i="101"/>
  <c r="H156" i="101"/>
  <c r="D156" i="54856"/>
  <c r="D157" i="101"/>
  <c r="F156" i="54856"/>
  <c r="E156" i="54856"/>
  <c r="F157" i="101"/>
  <c r="E157" i="101"/>
  <c r="G156" i="54856"/>
  <c r="H156" i="54856"/>
  <c r="G157" i="101"/>
  <c r="H157" i="101"/>
  <c r="D157" i="54856"/>
  <c r="D158" i="101"/>
  <c r="F157" i="54856"/>
  <c r="E157" i="54856"/>
  <c r="F158" i="101"/>
  <c r="E158" i="101"/>
  <c r="G157" i="54856"/>
  <c r="H157" i="54856"/>
  <c r="G158" i="101"/>
  <c r="H158" i="101"/>
  <c r="D158" i="54856"/>
  <c r="D159" i="101"/>
  <c r="F158" i="54856"/>
  <c r="E158" i="54856"/>
  <c r="F159" i="101"/>
  <c r="E159" i="101"/>
  <c r="G158" i="54856"/>
  <c r="H158" i="54856"/>
  <c r="G159" i="101"/>
  <c r="H159" i="101"/>
  <c r="D159" i="54856"/>
  <c r="D160" i="101"/>
  <c r="F159" i="54856"/>
  <c r="E159" i="54856"/>
  <c r="F160" i="101"/>
  <c r="E160" i="101"/>
  <c r="G159" i="54856"/>
  <c r="H159" i="54856"/>
  <c r="G160" i="101"/>
  <c r="H160" i="101"/>
  <c r="D160" i="54856"/>
  <c r="D161" i="101"/>
  <c r="F160" i="54856"/>
  <c r="E160" i="54856"/>
  <c r="F161" i="101"/>
  <c r="E161" i="101"/>
  <c r="G160" i="54856"/>
  <c r="H160" i="54856"/>
  <c r="G161" i="101"/>
  <c r="H161" i="101"/>
  <c r="D161" i="54856"/>
  <c r="D162" i="101"/>
  <c r="F161" i="54856"/>
  <c r="E161" i="54856"/>
  <c r="F162" i="101"/>
  <c r="E162" i="101"/>
  <c r="G161" i="54856"/>
  <c r="H161" i="54856"/>
  <c r="G162" i="101"/>
  <c r="H162" i="101"/>
  <c r="D162" i="54856"/>
  <c r="D163" i="101"/>
  <c r="F162" i="54856"/>
  <c r="E162" i="54856"/>
  <c r="F163" i="101"/>
  <c r="E163" i="101"/>
  <c r="G162" i="54856"/>
  <c r="H162" i="54856"/>
  <c r="G163" i="101"/>
  <c r="H163" i="101"/>
  <c r="D163" i="54856"/>
  <c r="D164" i="101"/>
  <c r="F163" i="54856"/>
  <c r="E163" i="54856"/>
  <c r="F164" i="101"/>
  <c r="E164" i="101"/>
  <c r="G163" i="54856"/>
  <c r="H163" i="54856"/>
  <c r="G164" i="101"/>
  <c r="H164" i="101"/>
  <c r="D164" i="54856"/>
  <c r="D165" i="101"/>
  <c r="F164" i="54856"/>
  <c r="E164" i="54856"/>
  <c r="F165" i="101"/>
  <c r="E165" i="101"/>
  <c r="G164" i="54856"/>
  <c r="H164" i="54856"/>
  <c r="G165" i="101"/>
  <c r="H165" i="101"/>
  <c r="D165" i="54856"/>
  <c r="D166" i="101"/>
  <c r="F165" i="54856"/>
  <c r="E165" i="54856"/>
  <c r="F166" i="101"/>
  <c r="E166" i="101"/>
  <c r="G165" i="54856"/>
  <c r="H165" i="54856"/>
  <c r="G166" i="101"/>
  <c r="H166" i="101"/>
  <c r="D166" i="54856"/>
  <c r="D167" i="101"/>
  <c r="F166" i="54856"/>
  <c r="E166" i="54856"/>
  <c r="F167" i="101"/>
  <c r="E167" i="101"/>
  <c r="G166" i="54856"/>
  <c r="H166" i="54856"/>
  <c r="G167" i="101"/>
  <c r="H167" i="101"/>
  <c r="D167" i="54856"/>
  <c r="D168" i="101"/>
  <c r="F167" i="54856"/>
  <c r="E167" i="54856"/>
  <c r="F168" i="101"/>
  <c r="E168" i="101"/>
  <c r="G167" i="54856"/>
  <c r="H167" i="54856"/>
  <c r="G168" i="101"/>
  <c r="H168" i="101"/>
  <c r="D168" i="54856"/>
  <c r="D169" i="101"/>
  <c r="F168" i="54856"/>
  <c r="E168" i="54856"/>
  <c r="F169" i="101"/>
  <c r="E169" i="101"/>
  <c r="G168" i="54856"/>
  <c r="H168" i="54856"/>
  <c r="G169" i="101"/>
  <c r="H169" i="101"/>
  <c r="D169" i="54856"/>
  <c r="D170" i="101"/>
  <c r="F169" i="54856"/>
  <c r="E169" i="54856"/>
  <c r="F170" i="101"/>
  <c r="E170" i="101"/>
  <c r="G169" i="54856"/>
  <c r="H169" i="54856"/>
  <c r="G170" i="101"/>
  <c r="H170" i="101"/>
  <c r="D170" i="54856"/>
  <c r="D171" i="101"/>
  <c r="F170" i="54856"/>
  <c r="E170" i="54856"/>
  <c r="F171" i="101"/>
  <c r="E171" i="101"/>
  <c r="G170" i="54856"/>
  <c r="H170" i="54856"/>
  <c r="G171" i="101"/>
  <c r="H171" i="101"/>
  <c r="D171" i="54856"/>
  <c r="D172" i="101"/>
  <c r="F171" i="54856"/>
  <c r="E171" i="54856"/>
  <c r="F172" i="101"/>
  <c r="E172" i="101"/>
  <c r="G171" i="54856"/>
  <c r="H171" i="54856"/>
  <c r="G172" i="101"/>
  <c r="H172" i="101"/>
  <c r="D172" i="54856"/>
  <c r="D173" i="101"/>
  <c r="F172" i="54856"/>
  <c r="E172" i="54856"/>
  <c r="F173" i="101"/>
  <c r="E173" i="101"/>
  <c r="G172" i="54856"/>
  <c r="H172" i="54856"/>
  <c r="G173" i="101"/>
  <c r="H173" i="101"/>
  <c r="D173" i="54856"/>
  <c r="D174" i="101"/>
  <c r="F173" i="54856"/>
  <c r="E173" i="54856"/>
  <c r="F174" i="101"/>
  <c r="E174" i="101"/>
  <c r="G173" i="54856"/>
  <c r="H173" i="54856"/>
  <c r="G174" i="101"/>
  <c r="H174" i="101"/>
  <c r="D174" i="54856"/>
  <c r="D175" i="101"/>
  <c r="F174" i="54856"/>
  <c r="E174" i="54856"/>
  <c r="F175" i="101"/>
  <c r="E175" i="101"/>
  <c r="G174" i="54856"/>
  <c r="H174" i="54856"/>
  <c r="G175" i="101"/>
  <c r="H175" i="101"/>
  <c r="D175" i="54856"/>
  <c r="D176" i="101"/>
  <c r="F175" i="54856"/>
  <c r="E175" i="54856"/>
  <c r="F176" i="101"/>
  <c r="E176" i="101"/>
  <c r="G175" i="54856"/>
  <c r="H175" i="54856"/>
  <c r="G176" i="101"/>
  <c r="H176" i="101"/>
  <c r="D176" i="54856"/>
  <c r="D177" i="101"/>
  <c r="F176" i="54856"/>
  <c r="E176" i="54856"/>
  <c r="F177" i="101"/>
  <c r="E177" i="101"/>
  <c r="G176" i="54856"/>
  <c r="H176" i="54856"/>
  <c r="G177" i="101"/>
  <c r="H177" i="101"/>
  <c r="D177" i="54856"/>
  <c r="D178" i="101"/>
  <c r="F177" i="54856"/>
  <c r="E177" i="54856"/>
  <c r="F178" i="101"/>
  <c r="E178" i="101"/>
  <c r="G177" i="54856"/>
  <c r="H177" i="54856"/>
  <c r="G178" i="101"/>
  <c r="H178" i="101"/>
  <c r="D178" i="54856"/>
  <c r="D179" i="101"/>
  <c r="F178" i="54856"/>
  <c r="E178" i="54856"/>
  <c r="F179" i="101"/>
  <c r="E179" i="101"/>
  <c r="G178" i="54856"/>
  <c r="H178" i="54856"/>
  <c r="G179" i="101"/>
  <c r="H179" i="101"/>
  <c r="D179" i="54856"/>
  <c r="D180" i="101"/>
  <c r="F179" i="54856"/>
  <c r="E179" i="54856"/>
  <c r="F180" i="101"/>
  <c r="E180" i="101"/>
  <c r="G179" i="54856"/>
  <c r="H179" i="54856"/>
  <c r="G180" i="101"/>
  <c r="H180" i="101"/>
  <c r="D180" i="54856"/>
  <c r="D181" i="101"/>
  <c r="F180" i="54856"/>
  <c r="E180" i="54856"/>
  <c r="F181" i="101"/>
  <c r="E181" i="101"/>
  <c r="G180" i="54856"/>
  <c r="H180" i="54856"/>
  <c r="G181" i="101"/>
  <c r="H181" i="101"/>
  <c r="D181" i="54856"/>
  <c r="D182" i="101"/>
  <c r="F181" i="54856"/>
  <c r="E181" i="54856"/>
  <c r="F182" i="101"/>
  <c r="E182" i="101"/>
  <c r="G181" i="54856"/>
  <c r="H181" i="54856"/>
  <c r="G182" i="101"/>
  <c r="H182" i="101"/>
  <c r="D182" i="54856"/>
  <c r="D183" i="101"/>
  <c r="F182" i="54856"/>
  <c r="E182" i="54856"/>
  <c r="F183" i="101"/>
  <c r="E183" i="101"/>
  <c r="G182" i="54856"/>
  <c r="H182" i="54856"/>
  <c r="G183" i="101"/>
  <c r="H183" i="101"/>
  <c r="D183" i="54856"/>
  <c r="D184" i="101"/>
  <c r="F183" i="54856"/>
  <c r="E183" i="54856"/>
  <c r="F184" i="101"/>
  <c r="E184" i="101"/>
  <c r="G183" i="54856"/>
  <c r="H183" i="54856"/>
  <c r="G184" i="101"/>
  <c r="H184" i="101"/>
  <c r="D184" i="54856"/>
  <c r="D185" i="101"/>
  <c r="F184" i="54856"/>
  <c r="E184" i="54856"/>
  <c r="F185" i="101"/>
  <c r="E185" i="101"/>
  <c r="G184" i="54856"/>
  <c r="H184" i="54856"/>
  <c r="G185" i="101"/>
  <c r="H185" i="101"/>
  <c r="D185" i="54856"/>
  <c r="D186" i="101"/>
  <c r="F185" i="54856"/>
  <c r="E185" i="54856"/>
  <c r="F186" i="101"/>
  <c r="E186" i="101"/>
  <c r="G185" i="54856"/>
  <c r="H185" i="54856"/>
  <c r="G186" i="101"/>
  <c r="H186" i="101"/>
  <c r="D186" i="54856"/>
  <c r="D187" i="101"/>
  <c r="F186" i="54856"/>
  <c r="E186" i="54856"/>
  <c r="F187" i="101"/>
  <c r="E187" i="101"/>
  <c r="G186" i="54856"/>
  <c r="H186" i="54856"/>
  <c r="G187" i="101"/>
  <c r="H187" i="101"/>
  <c r="D187" i="54856"/>
  <c r="D188" i="101"/>
  <c r="F187" i="54856"/>
  <c r="E187" i="54856"/>
  <c r="F188" i="101"/>
  <c r="E188" i="101"/>
  <c r="G187" i="54856"/>
  <c r="H187" i="54856"/>
  <c r="G188" i="101"/>
  <c r="H188" i="101"/>
  <c r="D188" i="54856"/>
  <c r="D189" i="101"/>
  <c r="F188" i="54856"/>
  <c r="E188" i="54856"/>
  <c r="F189" i="101"/>
  <c r="E189" i="101"/>
  <c r="G188" i="54856"/>
  <c r="H188" i="54856"/>
  <c r="G189" i="101"/>
  <c r="H189" i="101"/>
  <c r="D189" i="54856"/>
  <c r="D190" i="101"/>
  <c r="F189" i="54856"/>
  <c r="E189" i="54856"/>
  <c r="F190" i="101"/>
  <c r="E190" i="101"/>
  <c r="G189" i="54856"/>
  <c r="H189" i="54856"/>
  <c r="G190" i="101"/>
  <c r="H190" i="101"/>
  <c r="D190" i="54856"/>
  <c r="D191" i="101"/>
  <c r="F190" i="54856"/>
  <c r="E190" i="54856"/>
  <c r="F191" i="101"/>
  <c r="E191" i="101"/>
  <c r="G190" i="54856"/>
  <c r="H190" i="54856"/>
  <c r="G191" i="101"/>
  <c r="H191" i="101"/>
  <c r="D191" i="54856"/>
  <c r="D192" i="101"/>
  <c r="F191" i="54856"/>
  <c r="E191" i="54856"/>
  <c r="F192" i="101"/>
  <c r="E192" i="101"/>
  <c r="G191" i="54856"/>
  <c r="H191" i="54856"/>
  <c r="G192" i="101"/>
  <c r="H192" i="101"/>
  <c r="D192" i="54856"/>
  <c r="D193" i="101"/>
  <c r="F192" i="54856"/>
  <c r="E192" i="54856"/>
  <c r="F193" i="101"/>
  <c r="E193" i="101"/>
  <c r="G192" i="54856"/>
  <c r="H192" i="54856"/>
  <c r="G193" i="101"/>
  <c r="H193" i="101"/>
  <c r="D193" i="54856"/>
  <c r="D194" i="101"/>
  <c r="F193" i="54856"/>
  <c r="E193" i="54856"/>
  <c r="F194" i="101"/>
  <c r="E194" i="101"/>
  <c r="G193" i="54856"/>
  <c r="H193" i="54856"/>
  <c r="G194" i="101"/>
  <c r="H194" i="101"/>
  <c r="D194" i="54856"/>
  <c r="D195" i="101"/>
  <c r="F194" i="54856"/>
  <c r="E194" i="54856"/>
  <c r="F195" i="101"/>
  <c r="E195" i="101"/>
  <c r="G194" i="54856"/>
  <c r="H194" i="54856"/>
  <c r="G195" i="101"/>
  <c r="H195" i="101"/>
  <c r="D195" i="54856"/>
  <c r="D196" i="101"/>
  <c r="F195" i="54856"/>
  <c r="E195" i="54856"/>
  <c r="F196" i="101"/>
  <c r="E196" i="101"/>
  <c r="G195" i="54856"/>
  <c r="H195" i="54856"/>
  <c r="G196" i="101"/>
  <c r="H196" i="101"/>
  <c r="D196" i="54856"/>
  <c r="D197" i="101"/>
  <c r="F196" i="54856"/>
  <c r="E196" i="54856"/>
  <c r="F197" i="101"/>
  <c r="E197" i="101"/>
  <c r="G196" i="54856"/>
  <c r="H196" i="54856"/>
  <c r="G197" i="101"/>
  <c r="H197" i="101"/>
  <c r="D197" i="54856"/>
  <c r="D198" i="101"/>
  <c r="F197" i="54856"/>
  <c r="E197" i="54856"/>
  <c r="F198" i="101"/>
  <c r="E198" i="101"/>
  <c r="G197" i="54856"/>
  <c r="H197" i="54856"/>
  <c r="G198" i="101"/>
  <c r="H198" i="101"/>
  <c r="D198" i="54856"/>
  <c r="D199" i="101"/>
  <c r="F198" i="54856"/>
  <c r="E198" i="54856"/>
  <c r="F199" i="101"/>
  <c r="E199" i="101"/>
  <c r="G198" i="54856"/>
  <c r="H198" i="54856"/>
  <c r="G199" i="101"/>
  <c r="H199" i="101"/>
  <c r="D199" i="54856"/>
  <c r="D200" i="101"/>
  <c r="F199" i="54856"/>
  <c r="E199" i="54856"/>
  <c r="F200" i="101"/>
  <c r="E200" i="101"/>
  <c r="G199" i="54856"/>
  <c r="H199" i="54856"/>
  <c r="G200" i="101"/>
  <c r="H200" i="101"/>
  <c r="D200" i="54856"/>
  <c r="D201" i="101"/>
  <c r="F200" i="54856"/>
  <c r="E200" i="54856"/>
  <c r="F201" i="101"/>
  <c r="E201" i="101"/>
  <c r="G200" i="54856"/>
  <c r="H200" i="54856"/>
  <c r="G201" i="101"/>
  <c r="H201" i="101"/>
  <c r="D201" i="54856"/>
  <c r="D202" i="101"/>
  <c r="F201" i="54856"/>
  <c r="E201" i="54856"/>
  <c r="F202" i="101"/>
  <c r="E202" i="101"/>
  <c r="G201" i="54856"/>
  <c r="H201" i="54856"/>
  <c r="G202" i="101"/>
  <c r="H202" i="101"/>
  <c r="D202" i="54856"/>
  <c r="D203" i="101"/>
  <c r="F202" i="54856"/>
  <c r="E202" i="54856"/>
  <c r="F203" i="101"/>
  <c r="E203" i="101"/>
  <c r="G202" i="54856"/>
  <c r="H202" i="54856"/>
  <c r="G203" i="101"/>
  <c r="H203" i="101"/>
  <c r="D203" i="54856"/>
  <c r="D204" i="101"/>
  <c r="F203" i="54856"/>
  <c r="E203" i="54856"/>
  <c r="F204" i="101"/>
  <c r="E204" i="101"/>
  <c r="G203" i="54856"/>
  <c r="H203" i="54856"/>
  <c r="G204" i="101"/>
  <c r="H204" i="101"/>
  <c r="D204" i="54856"/>
  <c r="D205" i="101"/>
  <c r="F204" i="54856"/>
  <c r="E204" i="54856"/>
  <c r="F205" i="101"/>
  <c r="E205" i="101"/>
  <c r="G204" i="54856"/>
  <c r="H204" i="54856"/>
  <c r="G205" i="101"/>
  <c r="H205" i="101"/>
  <c r="D205" i="54856"/>
  <c r="D206" i="101"/>
  <c r="F205" i="54856"/>
  <c r="E205" i="54856"/>
  <c r="F206" i="101"/>
  <c r="E206" i="101"/>
  <c r="G205" i="54856"/>
  <c r="H205" i="54856"/>
  <c r="G206" i="101"/>
  <c r="H206" i="101"/>
  <c r="D206" i="54856"/>
  <c r="D207" i="101"/>
  <c r="F206" i="54856"/>
  <c r="E206" i="54856"/>
  <c r="F207" i="101"/>
  <c r="E207" i="101"/>
  <c r="G206" i="54856"/>
  <c r="H206" i="54856"/>
  <c r="G207" i="101"/>
  <c r="H207" i="101"/>
  <c r="D207" i="54856"/>
  <c r="D208" i="101"/>
  <c r="F207" i="54856"/>
  <c r="E207" i="54856"/>
  <c r="F208" i="101"/>
  <c r="E208" i="101"/>
  <c r="G207" i="54856"/>
  <c r="H207" i="54856"/>
  <c r="G208" i="101"/>
  <c r="H208" i="101"/>
  <c r="D208" i="54856"/>
  <c r="D209" i="101"/>
  <c r="F208" i="54856"/>
  <c r="E208" i="54856"/>
  <c r="F209" i="101"/>
  <c r="E209" i="101"/>
  <c r="G208" i="54856"/>
  <c r="H208" i="54856"/>
  <c r="G209" i="101"/>
  <c r="H209" i="101"/>
  <c r="D209" i="54856"/>
  <c r="D210" i="101"/>
  <c r="F209" i="54856"/>
  <c r="E209" i="54856"/>
  <c r="F210" i="101"/>
  <c r="E210" i="101"/>
  <c r="G209" i="54856"/>
  <c r="H209" i="54856"/>
  <c r="G210" i="101"/>
  <c r="H210" i="101"/>
  <c r="D210" i="54856"/>
  <c r="D211" i="101"/>
  <c r="F210" i="54856"/>
  <c r="E210" i="54856"/>
  <c r="F211" i="101"/>
  <c r="E211" i="101"/>
  <c r="G210" i="54856"/>
  <c r="H210" i="54856"/>
  <c r="G211" i="101"/>
  <c r="H211" i="101"/>
  <c r="D211" i="54856"/>
  <c r="D212" i="101"/>
  <c r="F211" i="54856"/>
  <c r="E211" i="54856"/>
  <c r="F212" i="101"/>
  <c r="E212" i="101"/>
  <c r="G211" i="54856"/>
  <c r="H211" i="54856"/>
  <c r="G212" i="101"/>
  <c r="H212" i="101"/>
  <c r="D212" i="54856"/>
  <c r="D213" i="101"/>
  <c r="F212" i="54856"/>
  <c r="E212" i="54856"/>
  <c r="F213" i="101"/>
  <c r="E213" i="101"/>
  <c r="G212" i="54856"/>
  <c r="H212" i="54856"/>
  <c r="G213" i="101"/>
  <c r="H213" i="101"/>
  <c r="D213" i="54856"/>
  <c r="D214" i="101"/>
  <c r="F213" i="54856"/>
  <c r="E213" i="54856"/>
  <c r="F214" i="101"/>
  <c r="E214" i="101"/>
  <c r="G213" i="54856"/>
  <c r="H213" i="54856"/>
  <c r="G214" i="101"/>
  <c r="H214" i="101"/>
  <c r="D214" i="54856"/>
  <c r="D215" i="101"/>
  <c r="F214" i="54856"/>
  <c r="E214" i="54856"/>
  <c r="F215" i="101"/>
  <c r="E215" i="101"/>
  <c r="G214" i="54856"/>
  <c r="H214" i="54856"/>
  <c r="G215" i="101"/>
  <c r="H215" i="101"/>
  <c r="D215" i="54856"/>
  <c r="D216" i="101"/>
  <c r="F215" i="54856"/>
  <c r="E215" i="54856"/>
  <c r="F216" i="101"/>
  <c r="E216" i="101"/>
  <c r="G215" i="54856"/>
  <c r="H215" i="54856"/>
  <c r="G216" i="101"/>
  <c r="H216" i="101"/>
  <c r="D216" i="54856"/>
  <c r="D217" i="101"/>
  <c r="F216" i="54856"/>
  <c r="E216" i="54856"/>
  <c r="F217" i="101"/>
  <c r="E217" i="101"/>
  <c r="G216" i="54856"/>
  <c r="H216" i="54856"/>
  <c r="G217" i="101"/>
  <c r="H217" i="101"/>
  <c r="D217" i="54856"/>
  <c r="D218" i="101"/>
  <c r="F217" i="54856"/>
  <c r="E217" i="54856"/>
  <c r="F218" i="101"/>
  <c r="E218" i="101"/>
  <c r="G217" i="54856"/>
  <c r="H217" i="54856"/>
  <c r="G218" i="101"/>
  <c r="H218" i="101"/>
  <c r="D218" i="54856"/>
  <c r="D219" i="101"/>
  <c r="F218" i="54856"/>
  <c r="E218" i="54856"/>
  <c r="F219" i="101"/>
  <c r="E219" i="101"/>
  <c r="G218" i="54856"/>
  <c r="H218" i="54856"/>
  <c r="G219" i="101"/>
  <c r="H219" i="101"/>
  <c r="D219" i="54856"/>
  <c r="D220" i="101"/>
  <c r="F219" i="54856"/>
  <c r="E219" i="54856"/>
  <c r="F220" i="101"/>
  <c r="E220" i="101"/>
  <c r="G219" i="54856"/>
  <c r="H219" i="54856"/>
  <c r="G220" i="101"/>
  <c r="H220" i="101"/>
  <c r="D220" i="54856"/>
  <c r="D221" i="101"/>
  <c r="F220" i="54856"/>
  <c r="E220" i="54856"/>
  <c r="F221" i="101"/>
  <c r="E221" i="101"/>
  <c r="G220" i="54856"/>
  <c r="H220" i="54856"/>
  <c r="G221" i="101"/>
  <c r="H221" i="101"/>
  <c r="D221" i="54856"/>
  <c r="D222" i="101"/>
  <c r="F221" i="54856"/>
  <c r="E221" i="54856"/>
  <c r="F222" i="101"/>
  <c r="E222" i="101"/>
  <c r="G221" i="54856"/>
  <c r="H221" i="54856"/>
  <c r="G222" i="101"/>
  <c r="H222" i="101"/>
  <c r="D222" i="54856"/>
  <c r="D223" i="101"/>
  <c r="F222" i="54856"/>
  <c r="E222" i="54856"/>
  <c r="F223" i="101"/>
  <c r="E223" i="101"/>
  <c r="G222" i="54856"/>
  <c r="H222" i="54856"/>
  <c r="G223" i="101"/>
  <c r="H223" i="101"/>
  <c r="D223" i="54856"/>
  <c r="D224" i="101"/>
  <c r="F223" i="54856"/>
  <c r="E223" i="54856"/>
  <c r="F224" i="101"/>
  <c r="E224" i="101"/>
  <c r="G223" i="54856"/>
  <c r="H223" i="54856"/>
  <c r="G224" i="101"/>
  <c r="H224" i="101"/>
  <c r="D224" i="54856"/>
  <c r="D225" i="101"/>
  <c r="F224" i="54856"/>
  <c r="E224" i="54856"/>
  <c r="F225" i="101"/>
  <c r="E225" i="101"/>
  <c r="G224" i="54856"/>
  <c r="H224" i="54856"/>
  <c r="G225" i="101"/>
  <c r="H225" i="101"/>
  <c r="D225" i="54856"/>
  <c r="D226" i="101"/>
  <c r="F225" i="54856"/>
  <c r="E225" i="54856"/>
  <c r="F226" i="101"/>
  <c r="E226" i="101"/>
  <c r="G225" i="54856"/>
  <c r="H225" i="54856"/>
  <c r="G226" i="101"/>
  <c r="H226" i="101"/>
  <c r="D226" i="54856"/>
  <c r="D227" i="101"/>
  <c r="F226" i="54856"/>
  <c r="E226" i="54856"/>
  <c r="F227" i="101"/>
  <c r="E227" i="101"/>
  <c r="G226" i="54856"/>
  <c r="H226" i="54856"/>
  <c r="G227" i="101"/>
  <c r="H227" i="101"/>
  <c r="D227" i="54856"/>
  <c r="D228" i="101"/>
  <c r="F227" i="54856"/>
  <c r="E227" i="54856"/>
  <c r="F228" i="101"/>
  <c r="E228" i="101"/>
  <c r="G227" i="54856"/>
  <c r="H227" i="54856"/>
  <c r="G228" i="101"/>
  <c r="H228" i="101"/>
  <c r="D228" i="54856"/>
  <c r="D229" i="101"/>
  <c r="F228" i="54856"/>
  <c r="E228" i="54856"/>
  <c r="F229" i="101"/>
  <c r="E229" i="101"/>
  <c r="G228" i="54856"/>
  <c r="H228" i="54856"/>
  <c r="G229" i="101"/>
  <c r="H229" i="101"/>
  <c r="D229" i="54856"/>
  <c r="D230" i="101"/>
  <c r="F229" i="54856"/>
  <c r="E229" i="54856"/>
  <c r="F230" i="101"/>
  <c r="E230" i="101"/>
  <c r="G229" i="54856"/>
  <c r="H229" i="54856"/>
  <c r="G230" i="101"/>
  <c r="H230" i="101"/>
  <c r="D230" i="54856"/>
  <c r="D231" i="101"/>
  <c r="F230" i="54856"/>
  <c r="E230" i="54856"/>
  <c r="F231" i="101"/>
  <c r="E231" i="101"/>
  <c r="G230" i="54856"/>
  <c r="H230" i="54856"/>
  <c r="G231" i="101"/>
  <c r="H231" i="101"/>
  <c r="D231" i="54856"/>
  <c r="D232" i="101"/>
  <c r="F231" i="54856"/>
  <c r="E231" i="54856"/>
  <c r="F232" i="101"/>
  <c r="E232" i="101"/>
  <c r="G231" i="54856"/>
  <c r="H231" i="54856"/>
  <c r="G232" i="101"/>
  <c r="H232" i="101"/>
  <c r="D232" i="54856"/>
  <c r="D233" i="101"/>
  <c r="F232" i="54856"/>
  <c r="E232" i="54856"/>
  <c r="F233" i="101"/>
  <c r="E233" i="101"/>
  <c r="G232" i="54856"/>
  <c r="H232" i="54856"/>
  <c r="G233" i="101"/>
  <c r="H233" i="101"/>
  <c r="D233" i="54856"/>
  <c r="D234" i="101"/>
  <c r="F233" i="54856"/>
  <c r="E233" i="54856"/>
  <c r="F234" i="101"/>
  <c r="E234" i="101"/>
  <c r="G233" i="54856"/>
  <c r="H233" i="54856"/>
  <c r="G234" i="101"/>
  <c r="H234" i="101"/>
  <c r="D234" i="54856"/>
  <c r="D235" i="101"/>
  <c r="F234" i="54856"/>
  <c r="E234" i="54856"/>
  <c r="F235" i="101"/>
  <c r="E235" i="101"/>
  <c r="G234" i="54856"/>
  <c r="H234" i="54856"/>
  <c r="G235" i="101"/>
  <c r="H235" i="101"/>
  <c r="D235" i="54856"/>
  <c r="D236" i="101"/>
  <c r="F235" i="54856"/>
  <c r="E235" i="54856"/>
  <c r="F236" i="101"/>
  <c r="E236" i="101"/>
  <c r="G235" i="54856"/>
  <c r="H235" i="54856"/>
  <c r="G236" i="101"/>
  <c r="H236" i="101"/>
  <c r="D236" i="54856"/>
  <c r="D237" i="101"/>
  <c r="F236" i="54856"/>
  <c r="E236" i="54856"/>
  <c r="F237" i="101"/>
  <c r="E237" i="101"/>
  <c r="G236" i="54856"/>
  <c r="H236" i="54856"/>
  <c r="G237" i="101"/>
  <c r="H237" i="101"/>
  <c r="D237" i="54856"/>
  <c r="D238" i="101"/>
  <c r="F237" i="54856"/>
  <c r="E237" i="54856"/>
  <c r="F238" i="101"/>
  <c r="E238" i="101"/>
  <c r="G237" i="54856"/>
  <c r="H237" i="54856"/>
  <c r="G238" i="101"/>
  <c r="H238" i="101"/>
  <c r="D238" i="54856"/>
  <c r="D239" i="101"/>
  <c r="F238" i="54856"/>
  <c r="E238" i="54856"/>
  <c r="F239" i="101"/>
  <c r="E239" i="101"/>
  <c r="G238" i="54856"/>
  <c r="H238" i="54856"/>
  <c r="G239" i="101"/>
  <c r="H239" i="101"/>
  <c r="D239" i="54856"/>
  <c r="D240" i="101"/>
  <c r="F239" i="54856"/>
  <c r="E239" i="54856"/>
  <c r="F240" i="101"/>
  <c r="E240" i="101"/>
  <c r="G239" i="54856"/>
  <c r="H239" i="54856"/>
  <c r="G240" i="101"/>
  <c r="H240" i="101"/>
  <c r="D240" i="54856"/>
  <c r="D241" i="101"/>
  <c r="F240" i="54856"/>
  <c r="E240" i="54856"/>
  <c r="F241" i="101"/>
  <c r="E241" i="101"/>
  <c r="G240" i="54856"/>
  <c r="H240" i="54856"/>
  <c r="G241" i="101"/>
  <c r="H241" i="101"/>
  <c r="D241" i="54856"/>
  <c r="D242" i="101"/>
  <c r="F241" i="54856"/>
  <c r="E241" i="54856"/>
  <c r="F242" i="101"/>
  <c r="E242" i="101"/>
  <c r="G241" i="54856"/>
  <c r="H241" i="54856"/>
  <c r="G242" i="101"/>
  <c r="H242" i="101"/>
  <c r="D242" i="54856"/>
  <c r="D243" i="101"/>
  <c r="F242" i="54856"/>
  <c r="E242" i="54856"/>
  <c r="F243" i="101"/>
  <c r="E243" i="101"/>
  <c r="G242" i="54856"/>
  <c r="H242" i="54856"/>
  <c r="G243" i="101"/>
  <c r="H243" i="101"/>
  <c r="D243" i="54856"/>
  <c r="D244" i="101"/>
  <c r="F243" i="54856"/>
  <c r="E243" i="54856"/>
  <c r="F244" i="101"/>
  <c r="E244" i="101"/>
  <c r="G243" i="54856"/>
  <c r="H243" i="54856"/>
  <c r="G244" i="101"/>
  <c r="H244" i="101"/>
  <c r="D244" i="54856"/>
  <c r="D245" i="101"/>
  <c r="F244" i="54856"/>
  <c r="E244" i="54856"/>
  <c r="F245" i="101"/>
  <c r="E245" i="101"/>
  <c r="G244" i="54856"/>
  <c r="H244" i="54856"/>
  <c r="G245" i="101"/>
  <c r="H245" i="101"/>
  <c r="D245" i="54856"/>
  <c r="D246" i="101"/>
  <c r="F245" i="54856"/>
  <c r="E245" i="54856"/>
  <c r="F246" i="101"/>
  <c r="E246" i="101"/>
  <c r="G245" i="54856"/>
  <c r="H245" i="54856"/>
  <c r="G246" i="101"/>
  <c r="H246" i="101"/>
  <c r="D246" i="54856"/>
  <c r="D247" i="101"/>
  <c r="F246" i="54856"/>
  <c r="E246" i="54856"/>
  <c r="F247" i="101"/>
  <c r="E247" i="101"/>
  <c r="G246" i="54856"/>
  <c r="H246" i="54856"/>
  <c r="G247" i="101"/>
  <c r="H247" i="101"/>
  <c r="D247" i="54856"/>
  <c r="D248" i="101"/>
  <c r="F247" i="54856"/>
  <c r="E247" i="54856"/>
  <c r="F248" i="101"/>
  <c r="E248" i="101"/>
  <c r="G247" i="54856"/>
  <c r="H247" i="54856"/>
  <c r="G248" i="101"/>
  <c r="H248" i="101"/>
  <c r="D248" i="54856"/>
  <c r="D249" i="101"/>
  <c r="F248" i="54856"/>
  <c r="E248" i="54856"/>
  <c r="F249" i="101"/>
  <c r="E249" i="101"/>
  <c r="G248" i="54856"/>
  <c r="H248" i="54856"/>
  <c r="G249" i="101"/>
  <c r="H249" i="101"/>
  <c r="D249" i="54856"/>
  <c r="D250" i="101"/>
  <c r="F249" i="54856"/>
  <c r="E249" i="54856"/>
  <c r="F250" i="101"/>
  <c r="E250" i="101"/>
  <c r="G249" i="54856"/>
  <c r="H249" i="54856"/>
  <c r="G250" i="101"/>
  <c r="H250" i="101"/>
  <c r="D250" i="54856"/>
  <c r="D251" i="101"/>
  <c r="F250" i="54856"/>
  <c r="E250" i="54856"/>
  <c r="F251" i="101"/>
  <c r="E251" i="101"/>
  <c r="G250" i="54856"/>
  <c r="H250" i="54856"/>
  <c r="G251" i="101"/>
  <c r="H251" i="101"/>
  <c r="D251" i="54856"/>
  <c r="D252" i="101"/>
  <c r="F251" i="54856"/>
  <c r="E251" i="54856"/>
  <c r="F252" i="101"/>
  <c r="E252" i="101"/>
  <c r="G251" i="54856"/>
  <c r="H251" i="54856"/>
  <c r="G252" i="101"/>
  <c r="H252" i="101"/>
  <c r="D252" i="54856"/>
  <c r="D253" i="101"/>
  <c r="F252" i="54856"/>
  <c r="E252" i="54856"/>
  <c r="F253" i="101"/>
  <c r="E253" i="101"/>
  <c r="G252" i="54856"/>
  <c r="H252" i="54856"/>
  <c r="G253" i="101"/>
  <c r="H253" i="101"/>
  <c r="D253" i="54856"/>
  <c r="D254" i="101"/>
  <c r="F253" i="54856"/>
  <c r="E253" i="54856"/>
  <c r="F254" i="101"/>
  <c r="E254" i="101"/>
  <c r="G253" i="54856"/>
  <c r="H253" i="54856"/>
  <c r="G254" i="101"/>
  <c r="H254" i="101"/>
  <c r="D254" i="54856"/>
  <c r="D255" i="101"/>
  <c r="F254" i="54856"/>
  <c r="E254" i="54856"/>
  <c r="F255" i="101"/>
  <c r="E255" i="101"/>
  <c r="G254" i="54856"/>
  <c r="H254" i="54856"/>
  <c r="G255" i="101"/>
  <c r="H255" i="101"/>
  <c r="D255" i="54856"/>
  <c r="D256" i="101"/>
  <c r="F255" i="54856"/>
  <c r="E255" i="54856"/>
  <c r="F256" i="101"/>
  <c r="E256" i="101"/>
  <c r="G255" i="54856"/>
  <c r="H255" i="54856"/>
  <c r="G256" i="101"/>
  <c r="H256" i="101"/>
  <c r="D256" i="54856"/>
  <c r="D257" i="101"/>
  <c r="F256" i="54856"/>
  <c r="E256" i="54856"/>
  <c r="F257" i="101"/>
  <c r="E257" i="101"/>
  <c r="G256" i="54856"/>
  <c r="H256" i="54856"/>
  <c r="G257" i="101"/>
  <c r="H257" i="101"/>
  <c r="D257" i="54856"/>
  <c r="D258" i="101"/>
  <c r="F257" i="54856"/>
  <c r="E257" i="54856"/>
  <c r="F258" i="101"/>
  <c r="E258" i="101"/>
  <c r="G257" i="54856"/>
  <c r="H257" i="54856"/>
  <c r="G258" i="101"/>
  <c r="H258" i="101"/>
  <c r="D258" i="54856"/>
  <c r="D259" i="101"/>
  <c r="F258" i="54856"/>
  <c r="E258" i="54856"/>
  <c r="F259" i="101"/>
  <c r="E259" i="101"/>
  <c r="G258" i="54856"/>
  <c r="H258" i="54856"/>
  <c r="G259" i="101"/>
  <c r="H259" i="101"/>
  <c r="D259" i="54856"/>
  <c r="D260" i="101"/>
  <c r="F259" i="54856"/>
  <c r="E259" i="54856"/>
  <c r="F260" i="101"/>
  <c r="E260" i="101"/>
  <c r="G259" i="54856"/>
  <c r="H259" i="54856"/>
  <c r="G260" i="101"/>
  <c r="H260" i="101"/>
  <c r="D260" i="54856"/>
  <c r="D261" i="101"/>
  <c r="F260" i="54856"/>
  <c r="E260" i="54856"/>
  <c r="F261" i="101"/>
  <c r="E261" i="101"/>
  <c r="G260" i="54856"/>
  <c r="H260" i="54856"/>
  <c r="G261" i="101"/>
  <c r="H261" i="101"/>
  <c r="D261" i="54856"/>
  <c r="D262" i="101"/>
  <c r="F261" i="54856"/>
  <c r="E261" i="54856"/>
  <c r="F262" i="101"/>
  <c r="E262" i="101"/>
  <c r="G261" i="54856"/>
  <c r="H261" i="54856"/>
  <c r="G262" i="101"/>
  <c r="H262" i="101"/>
  <c r="D262" i="54856"/>
  <c r="D263" i="101"/>
  <c r="F262" i="54856"/>
  <c r="E262" i="54856"/>
  <c r="F263" i="101"/>
  <c r="E263" i="101"/>
  <c r="G262" i="54856"/>
  <c r="H262" i="54856"/>
  <c r="G263" i="101"/>
  <c r="H263" i="101"/>
  <c r="D263" i="54856"/>
  <c r="D264" i="101"/>
  <c r="F263" i="54856"/>
  <c r="E263" i="54856"/>
  <c r="F264" i="101"/>
  <c r="E264" i="101"/>
  <c r="G263" i="54856"/>
  <c r="H263" i="54856"/>
  <c r="G264" i="101"/>
  <c r="H264" i="101"/>
  <c r="D264" i="54856"/>
  <c r="D265" i="101"/>
  <c r="F264" i="54856"/>
  <c r="E264" i="54856"/>
  <c r="F265" i="101"/>
  <c r="E265" i="101"/>
  <c r="G264" i="54856"/>
  <c r="H264" i="54856"/>
  <c r="G265" i="101"/>
  <c r="H265" i="101"/>
  <c r="D265" i="54856"/>
  <c r="D266" i="101"/>
  <c r="F265" i="54856"/>
  <c r="E265" i="54856"/>
  <c r="F266" i="101"/>
  <c r="E266" i="101"/>
  <c r="G265" i="54856"/>
  <c r="H265" i="54856"/>
  <c r="G266" i="101"/>
  <c r="H266" i="101"/>
  <c r="D266" i="54856"/>
  <c r="D267" i="101"/>
  <c r="F266" i="54856"/>
  <c r="E266" i="54856"/>
  <c r="F267" i="101"/>
  <c r="E267" i="101"/>
  <c r="G266" i="54856"/>
  <c r="H266" i="54856"/>
  <c r="G267" i="101"/>
  <c r="H267" i="101"/>
  <c r="D267" i="54856"/>
  <c r="D268" i="101"/>
  <c r="F267" i="54856"/>
  <c r="E267" i="54856"/>
  <c r="F268" i="101"/>
  <c r="E268" i="101"/>
  <c r="G267" i="54856"/>
  <c r="H267" i="54856"/>
  <c r="G268" i="101"/>
  <c r="H268" i="101"/>
  <c r="D268" i="54856"/>
  <c r="D269" i="101"/>
  <c r="F268" i="54856"/>
  <c r="E268" i="54856"/>
  <c r="F269" i="101"/>
  <c r="E269" i="101"/>
  <c r="G268" i="54856"/>
  <c r="H268" i="54856"/>
  <c r="G269" i="101"/>
  <c r="H269" i="101"/>
  <c r="D269" i="54856"/>
  <c r="D270" i="101"/>
  <c r="F269" i="54856"/>
  <c r="E269" i="54856"/>
  <c r="F270" i="101"/>
  <c r="E270" i="101"/>
  <c r="G269" i="54856"/>
  <c r="H269" i="54856"/>
  <c r="G270" i="101"/>
  <c r="H270" i="101"/>
  <c r="D270" i="54856"/>
  <c r="D271" i="101"/>
  <c r="F270" i="54856"/>
  <c r="E270" i="54856"/>
  <c r="F271" i="101"/>
  <c r="E271" i="101"/>
  <c r="G270" i="54856"/>
  <c r="H270" i="54856"/>
  <c r="G271" i="101"/>
  <c r="H271" i="101"/>
  <c r="D271" i="54856"/>
  <c r="D272" i="101"/>
  <c r="F271" i="54856"/>
  <c r="E271" i="54856"/>
  <c r="F272" i="101"/>
  <c r="E272" i="101"/>
  <c r="G271" i="54856"/>
  <c r="H271" i="54856"/>
  <c r="G272" i="101"/>
  <c r="H272" i="101"/>
  <c r="D272" i="54856"/>
  <c r="D273" i="101"/>
  <c r="F272" i="54856"/>
  <c r="E272" i="54856"/>
  <c r="F273" i="101"/>
  <c r="E273" i="101"/>
  <c r="G272" i="54856"/>
  <c r="H272" i="54856"/>
  <c r="G273" i="101"/>
  <c r="H273" i="101"/>
  <c r="D273" i="54856"/>
  <c r="D274" i="101"/>
  <c r="F273" i="54856"/>
  <c r="E273" i="54856"/>
  <c r="F274" i="101"/>
  <c r="E274" i="101"/>
  <c r="G273" i="54856"/>
  <c r="H273" i="54856"/>
  <c r="G274" i="101"/>
  <c r="H274" i="101"/>
  <c r="D274" i="54856"/>
  <c r="D275" i="101"/>
  <c r="F274" i="54856"/>
  <c r="E274" i="54856"/>
  <c r="F275" i="101"/>
  <c r="E275" i="101"/>
  <c r="G274" i="54856"/>
  <c r="H274" i="54856"/>
  <c r="G275" i="101"/>
  <c r="H275" i="101"/>
  <c r="D275" i="54856"/>
  <c r="D276" i="101"/>
  <c r="F275" i="54856"/>
  <c r="E275" i="54856"/>
  <c r="F276" i="101"/>
  <c r="E276" i="101"/>
  <c r="G275" i="54856"/>
  <c r="H275" i="54856"/>
  <c r="G276" i="101"/>
  <c r="H276" i="101"/>
  <c r="D276" i="54856"/>
  <c r="D277" i="101"/>
  <c r="F276" i="54856"/>
  <c r="E276" i="54856"/>
  <c r="F277" i="101"/>
  <c r="E277" i="101"/>
  <c r="G276" i="54856"/>
  <c r="H276" i="54856"/>
  <c r="G277" i="101"/>
  <c r="H277" i="101"/>
  <c r="D277" i="54856"/>
  <c r="D278" i="101"/>
  <c r="F277" i="54856"/>
  <c r="E277" i="54856"/>
  <c r="F278" i="101"/>
  <c r="E278" i="101"/>
  <c r="G277" i="54856"/>
  <c r="H277" i="54856"/>
  <c r="G278" i="101"/>
  <c r="H278" i="101"/>
  <c r="D278" i="54856"/>
  <c r="D279" i="101"/>
  <c r="F278" i="54856"/>
  <c r="E278" i="54856"/>
  <c r="F279" i="101"/>
  <c r="E279" i="101"/>
  <c r="G278" i="54856"/>
  <c r="H278" i="54856"/>
  <c r="G279" i="101"/>
  <c r="H279" i="101"/>
  <c r="D279" i="54856"/>
  <c r="D280" i="101"/>
  <c r="F279" i="54856"/>
  <c r="E279" i="54856"/>
  <c r="F280" i="101"/>
  <c r="E280" i="101"/>
  <c r="G279" i="54856"/>
  <c r="H279" i="54856"/>
  <c r="G280" i="101"/>
  <c r="H280" i="101"/>
  <c r="D280" i="54856"/>
  <c r="D281" i="101"/>
  <c r="F280" i="54856"/>
  <c r="E280" i="54856"/>
  <c r="F281" i="101"/>
  <c r="E281" i="101"/>
  <c r="G280" i="54856"/>
  <c r="H280" i="54856"/>
  <c r="G281" i="101"/>
  <c r="H281" i="101"/>
  <c r="D281" i="54856"/>
  <c r="D282" i="101"/>
  <c r="F281" i="54856"/>
  <c r="E281" i="54856"/>
  <c r="F282" i="101"/>
  <c r="E282" i="101"/>
  <c r="G281" i="54856"/>
  <c r="H281" i="54856"/>
  <c r="G282" i="101"/>
  <c r="H282" i="101"/>
  <c r="D282" i="54856"/>
  <c r="D283" i="101"/>
  <c r="F282" i="54856"/>
  <c r="E282" i="54856"/>
  <c r="F283" i="101"/>
  <c r="E283" i="101"/>
  <c r="G282" i="54856"/>
  <c r="H282" i="54856"/>
  <c r="G283" i="101"/>
  <c r="H283" i="101"/>
  <c r="D283" i="54856"/>
  <c r="D284" i="101"/>
  <c r="F283" i="54856"/>
  <c r="E283" i="54856"/>
  <c r="F284" i="101"/>
  <c r="E284" i="101"/>
  <c r="G283" i="54856"/>
  <c r="H283" i="54856"/>
  <c r="G284" i="101"/>
  <c r="H284" i="101"/>
  <c r="D284" i="54856"/>
  <c r="D285" i="101"/>
  <c r="F284" i="54856"/>
  <c r="E284" i="54856"/>
  <c r="F285" i="101"/>
  <c r="E285" i="101"/>
  <c r="G284" i="54856"/>
  <c r="H284" i="54856"/>
  <c r="G285" i="101"/>
  <c r="H285" i="101"/>
  <c r="D285" i="54856"/>
  <c r="D286" i="101"/>
  <c r="F285" i="54856"/>
  <c r="E285" i="54856"/>
  <c r="F286" i="101"/>
  <c r="E286" i="101"/>
  <c r="G285" i="54856"/>
  <c r="H285" i="54856"/>
  <c r="G286" i="101"/>
  <c r="H286" i="101"/>
  <c r="D286" i="54856"/>
  <c r="D287" i="101"/>
  <c r="F286" i="54856"/>
  <c r="E286" i="54856"/>
  <c r="F287" i="101"/>
  <c r="E287" i="101"/>
  <c r="G286" i="54856"/>
  <c r="H286" i="54856"/>
  <c r="G287" i="101"/>
  <c r="H287" i="101"/>
  <c r="D287" i="54856"/>
  <c r="D288" i="101"/>
  <c r="F287" i="54856"/>
  <c r="E287" i="54856"/>
  <c r="F288" i="101"/>
  <c r="E288" i="101"/>
  <c r="G287" i="54856"/>
  <c r="H287" i="54856"/>
  <c r="G288" i="101"/>
  <c r="H288" i="101"/>
  <c r="D288" i="54856"/>
  <c r="D289" i="101"/>
  <c r="F288" i="54856"/>
  <c r="E288" i="54856"/>
  <c r="F289" i="101"/>
  <c r="E289" i="101"/>
  <c r="G288" i="54856"/>
  <c r="H288" i="54856"/>
  <c r="G289" i="101"/>
  <c r="H289" i="101"/>
  <c r="D289" i="54856"/>
  <c r="D290" i="101"/>
  <c r="F289" i="54856"/>
  <c r="E289" i="54856"/>
  <c r="F290" i="101"/>
  <c r="E290" i="101"/>
  <c r="G289" i="54856"/>
  <c r="H289" i="54856"/>
  <c r="G290" i="101"/>
  <c r="H290" i="101"/>
  <c r="D290" i="54856"/>
  <c r="D291" i="101"/>
  <c r="F290" i="54856"/>
  <c r="E290" i="54856"/>
  <c r="F291" i="101"/>
  <c r="E291" i="101"/>
  <c r="G290" i="54856"/>
  <c r="H290" i="54856"/>
  <c r="G291" i="101"/>
  <c r="H291" i="101"/>
  <c r="D291" i="54856"/>
  <c r="D292" i="101"/>
  <c r="F291" i="54856"/>
  <c r="E291" i="54856"/>
  <c r="F292" i="101"/>
  <c r="E292" i="101"/>
  <c r="G291" i="54856"/>
  <c r="H291" i="54856"/>
  <c r="G292" i="101"/>
  <c r="H292" i="101"/>
  <c r="D292" i="54856"/>
  <c r="D293" i="101"/>
  <c r="F292" i="54856"/>
  <c r="E292" i="54856"/>
  <c r="F293" i="101"/>
  <c r="E293" i="101"/>
  <c r="G292" i="54856"/>
  <c r="H292" i="54856"/>
  <c r="G293" i="101"/>
  <c r="H293" i="101"/>
  <c r="D293" i="54856"/>
  <c r="D294" i="101"/>
  <c r="F293" i="54856"/>
  <c r="E293" i="54856"/>
  <c r="F294" i="101"/>
  <c r="E294" i="101"/>
  <c r="G293" i="54856"/>
  <c r="H293" i="54856"/>
  <c r="G294" i="101"/>
  <c r="H294" i="101"/>
  <c r="D294" i="54856"/>
  <c r="D295" i="101"/>
  <c r="F294" i="54856"/>
  <c r="E294" i="54856"/>
  <c r="F295" i="101"/>
  <c r="E295" i="101"/>
  <c r="G294" i="54856"/>
  <c r="H294" i="54856"/>
  <c r="G295" i="101"/>
  <c r="H295" i="101"/>
  <c r="D295" i="54856"/>
  <c r="D296" i="101"/>
  <c r="F295" i="54856"/>
  <c r="E295" i="54856"/>
  <c r="F296" i="101"/>
  <c r="E296" i="101"/>
  <c r="G295" i="54856"/>
  <c r="H295" i="54856"/>
  <c r="G296" i="101"/>
  <c r="H296" i="101"/>
  <c r="D296" i="54856"/>
  <c r="D297" i="101"/>
  <c r="F296" i="54856"/>
  <c r="E296" i="54856"/>
  <c r="F297" i="101"/>
  <c r="E297" i="101"/>
  <c r="G296" i="54856"/>
  <c r="H296" i="54856"/>
  <c r="G297" i="101"/>
  <c r="H297" i="101"/>
  <c r="D297" i="54856"/>
  <c r="D298" i="101"/>
  <c r="F297" i="54856"/>
  <c r="E297" i="54856"/>
  <c r="F298" i="101"/>
  <c r="E298" i="101"/>
  <c r="G297" i="54856"/>
  <c r="H297" i="54856"/>
  <c r="G298" i="101"/>
  <c r="H298" i="101"/>
  <c r="D298" i="54856"/>
  <c r="D299" i="101"/>
  <c r="F298" i="54856"/>
  <c r="E298" i="54856"/>
  <c r="F299" i="101"/>
  <c r="E299" i="101"/>
  <c r="G298" i="54856"/>
  <c r="H298" i="54856"/>
  <c r="G299" i="101"/>
  <c r="H299" i="101"/>
  <c r="D299" i="54856"/>
  <c r="D300" i="101"/>
  <c r="F299" i="54856"/>
  <c r="E299" i="54856"/>
  <c r="F300" i="101"/>
  <c r="E300" i="101"/>
  <c r="G299" i="54856"/>
  <c r="H299" i="54856"/>
  <c r="G300" i="101"/>
  <c r="H300" i="101"/>
  <c r="D300" i="54856"/>
  <c r="D301" i="101"/>
  <c r="F300" i="54856"/>
  <c r="E300" i="54856"/>
  <c r="F301" i="101"/>
  <c r="E301" i="101"/>
  <c r="G300" i="54856"/>
  <c r="H300" i="54856"/>
  <c r="G301" i="101"/>
  <c r="H301" i="101"/>
  <c r="D301" i="54856"/>
  <c r="D302" i="101"/>
  <c r="F301" i="54856"/>
  <c r="E301" i="54856"/>
  <c r="F302" i="101"/>
  <c r="E302" i="101"/>
  <c r="G301" i="54856"/>
  <c r="H301" i="54856"/>
  <c r="G302" i="101"/>
  <c r="H302" i="101"/>
  <c r="D302" i="54856"/>
  <c r="D303" i="101"/>
  <c r="F302" i="54856"/>
  <c r="E302" i="54856"/>
  <c r="F303" i="101"/>
  <c r="E303" i="101"/>
  <c r="G302" i="54856"/>
  <c r="H302" i="54856"/>
  <c r="G303" i="101"/>
  <c r="H303" i="101"/>
  <c r="D303" i="54856"/>
  <c r="D304" i="101"/>
  <c r="F303" i="54856"/>
  <c r="E303" i="54856"/>
  <c r="F304" i="101"/>
  <c r="E304" i="101"/>
  <c r="G303" i="54856"/>
  <c r="H303" i="54856"/>
  <c r="G304" i="101"/>
  <c r="H304" i="101"/>
  <c r="D304" i="54856"/>
  <c r="D305" i="101"/>
  <c r="F304" i="54856"/>
  <c r="E304" i="54856"/>
  <c r="F305" i="101"/>
  <c r="E305" i="101"/>
  <c r="G304" i="54856"/>
  <c r="H304" i="54856"/>
  <c r="G305" i="101"/>
  <c r="H305" i="101"/>
  <c r="D305" i="54856"/>
  <c r="D306" i="101"/>
  <c r="F305" i="54856"/>
  <c r="E305" i="54856"/>
  <c r="F306" i="101"/>
  <c r="E306" i="101"/>
  <c r="G305" i="54856"/>
  <c r="H305" i="54856"/>
  <c r="G306" i="101"/>
  <c r="H306" i="101"/>
  <c r="D306" i="54856"/>
  <c r="D307" i="101"/>
  <c r="F306" i="54856"/>
  <c r="E306" i="54856"/>
  <c r="F307" i="101"/>
  <c r="E307" i="101"/>
  <c r="G306" i="54856"/>
  <c r="H306" i="54856"/>
  <c r="G307" i="101"/>
  <c r="H307" i="101"/>
  <c r="D307" i="54856"/>
  <c r="D308" i="101"/>
  <c r="F307" i="54856"/>
  <c r="E307" i="54856"/>
  <c r="F308" i="101"/>
  <c r="E308" i="101"/>
  <c r="G307" i="54856"/>
  <c r="H307" i="54856"/>
  <c r="G308" i="101"/>
  <c r="H308" i="101"/>
  <c r="D308" i="54856"/>
  <c r="D309" i="101"/>
  <c r="F308" i="54856"/>
  <c r="E308" i="54856"/>
  <c r="F309" i="101"/>
  <c r="E309" i="101"/>
  <c r="G308" i="54856"/>
  <c r="H308" i="54856"/>
  <c r="G309" i="101"/>
  <c r="H309" i="101"/>
  <c r="D309" i="54856"/>
  <c r="D310" i="101"/>
  <c r="F309" i="54856"/>
  <c r="E309" i="54856"/>
  <c r="F310" i="101"/>
  <c r="E310" i="101"/>
  <c r="G309" i="54856"/>
  <c r="H309" i="54856"/>
  <c r="G310" i="101"/>
  <c r="H310" i="101"/>
  <c r="D310" i="54856"/>
  <c r="D311" i="101"/>
  <c r="F310" i="54856"/>
  <c r="E310" i="54856"/>
  <c r="F311" i="101"/>
  <c r="E311" i="101"/>
  <c r="G310" i="54856"/>
  <c r="H310" i="54856"/>
  <c r="G311" i="101"/>
  <c r="H311" i="101"/>
  <c r="D311" i="54856"/>
  <c r="D312" i="101"/>
  <c r="F311" i="54856"/>
  <c r="E311" i="54856"/>
  <c r="F312" i="101"/>
  <c r="E312" i="101"/>
  <c r="G311" i="54856"/>
  <c r="H311" i="54856"/>
  <c r="G312" i="101"/>
  <c r="H312" i="101"/>
  <c r="D312" i="54856"/>
  <c r="D313" i="101"/>
  <c r="F312" i="54856"/>
  <c r="E312" i="54856"/>
  <c r="F313" i="101"/>
  <c r="E313" i="101"/>
  <c r="G312" i="54856"/>
  <c r="H312" i="54856"/>
  <c r="G313" i="101"/>
  <c r="H313" i="101"/>
  <c r="D313" i="54856"/>
  <c r="D314" i="101"/>
  <c r="F313" i="54856"/>
  <c r="E313" i="54856"/>
  <c r="F314" i="101"/>
  <c r="E314" i="101"/>
  <c r="G313" i="54856"/>
  <c r="H313" i="54856"/>
  <c r="G314" i="101"/>
  <c r="H314" i="101"/>
  <c r="D314" i="54856"/>
  <c r="D315" i="101"/>
  <c r="F314" i="54856"/>
  <c r="E314" i="54856"/>
  <c r="F315" i="101"/>
  <c r="E315" i="101"/>
  <c r="G314" i="54856"/>
  <c r="H314" i="54856"/>
  <c r="G315" i="101"/>
  <c r="H315" i="101"/>
  <c r="D315" i="54856"/>
  <c r="D316" i="101"/>
  <c r="F315" i="54856"/>
  <c r="E315" i="54856"/>
  <c r="F316" i="101"/>
  <c r="E316" i="101"/>
  <c r="G315" i="54856"/>
  <c r="H315" i="54856"/>
  <c r="G316" i="101"/>
  <c r="H316" i="101"/>
  <c r="D316" i="54856"/>
  <c r="D317" i="101"/>
  <c r="F316" i="54856"/>
  <c r="E316" i="54856"/>
  <c r="F317" i="101"/>
  <c r="E317" i="101"/>
  <c r="G316" i="54856"/>
  <c r="H316" i="54856"/>
  <c r="G317" i="101"/>
  <c r="H317" i="101"/>
  <c r="D317" i="54856"/>
  <c r="D318" i="101"/>
  <c r="F317" i="54856"/>
  <c r="E317" i="54856"/>
  <c r="D8" i="54856"/>
  <c r="F318" i="101"/>
  <c r="E318" i="101"/>
  <c r="G317" i="54856"/>
  <c r="H317" i="54856"/>
  <c r="G318" i="101"/>
  <c r="H318" i="101"/>
  <c r="D319" i="101"/>
  <c r="F319" i="101"/>
  <c r="E319" i="101"/>
  <c r="G319" i="101"/>
  <c r="H319" i="101"/>
  <c r="D320" i="101"/>
  <c r="F320" i="101"/>
  <c r="E320" i="101"/>
  <c r="G320" i="101"/>
  <c r="H320" i="101"/>
  <c r="D321" i="101"/>
  <c r="F321" i="101"/>
  <c r="E321" i="101"/>
  <c r="G321" i="101"/>
  <c r="H321" i="101"/>
  <c r="D322" i="101"/>
  <c r="F322" i="101"/>
  <c r="E322" i="101"/>
  <c r="G322" i="101"/>
  <c r="H322" i="101"/>
  <c r="D323" i="101"/>
  <c r="F323" i="101"/>
  <c r="E323" i="101"/>
  <c r="G323" i="101"/>
  <c r="H323" i="101"/>
  <c r="D324" i="101"/>
  <c r="F324" i="101"/>
  <c r="E324" i="101"/>
  <c r="G324" i="101"/>
  <c r="H324" i="101"/>
  <c r="D325" i="101"/>
  <c r="F325" i="101"/>
  <c r="E325" i="101"/>
  <c r="G325" i="101"/>
  <c r="H325" i="101"/>
  <c r="D326" i="101"/>
  <c r="F326" i="101"/>
  <c r="E326" i="101"/>
  <c r="G326" i="101"/>
  <c r="H326" i="101"/>
  <c r="D327" i="101"/>
  <c r="F327" i="101"/>
  <c r="E327" i="101"/>
  <c r="G327" i="101"/>
  <c r="H327" i="101"/>
  <c r="D328" i="101"/>
  <c r="F328" i="101"/>
  <c r="E328" i="101"/>
  <c r="G328" i="101"/>
  <c r="H328" i="101"/>
  <c r="D329" i="101"/>
  <c r="F329" i="101"/>
  <c r="E329" i="101"/>
  <c r="G329" i="101"/>
  <c r="H329" i="101"/>
  <c r="D330" i="101"/>
  <c r="F330" i="101"/>
  <c r="E330" i="101"/>
  <c r="G330" i="101"/>
  <c r="H330" i="101"/>
  <c r="D331" i="101"/>
  <c r="F331" i="101"/>
  <c r="E331" i="101"/>
  <c r="G331" i="101"/>
  <c r="H331" i="101"/>
  <c r="D332" i="101"/>
  <c r="F332" i="101"/>
  <c r="E332" i="101"/>
  <c r="G332" i="101"/>
  <c r="H332" i="101"/>
  <c r="D333" i="101"/>
  <c r="F333" i="101"/>
  <c r="E333" i="101"/>
  <c r="G333" i="101"/>
  <c r="H333" i="101"/>
  <c r="D334" i="101"/>
  <c r="F334" i="101"/>
  <c r="E334" i="101"/>
  <c r="G334" i="101"/>
  <c r="H334" i="101"/>
  <c r="D335" i="101"/>
  <c r="F335" i="101"/>
  <c r="E335" i="101"/>
  <c r="G335" i="101"/>
  <c r="H335" i="101"/>
  <c r="D336" i="101"/>
  <c r="F336" i="101"/>
  <c r="E336" i="101"/>
  <c r="G336" i="101"/>
  <c r="H336" i="101"/>
  <c r="D337" i="101"/>
  <c r="F337" i="101"/>
  <c r="E337" i="101"/>
  <c r="G337" i="101"/>
  <c r="H337" i="101"/>
  <c r="D338" i="101"/>
  <c r="F338" i="101"/>
  <c r="E338" i="101"/>
  <c r="G338" i="101"/>
  <c r="H338" i="101"/>
  <c r="D339" i="101"/>
  <c r="F339" i="101"/>
  <c r="E339" i="101"/>
  <c r="G339" i="101"/>
  <c r="H339" i="101"/>
  <c r="D340" i="101"/>
  <c r="F340" i="101"/>
  <c r="E340" i="101"/>
  <c r="G340" i="101"/>
  <c r="H340" i="101"/>
  <c r="D341" i="101"/>
  <c r="F341" i="101"/>
  <c r="E341" i="101"/>
  <c r="G341" i="101"/>
  <c r="H341" i="101"/>
  <c r="D342" i="101"/>
  <c r="F342" i="101"/>
  <c r="E342" i="101"/>
  <c r="G342" i="101"/>
  <c r="H342" i="101"/>
  <c r="D343" i="101"/>
  <c r="F343" i="101"/>
  <c r="E343" i="101"/>
  <c r="G343" i="101"/>
  <c r="H343" i="101"/>
  <c r="D344" i="101"/>
  <c r="F344" i="101"/>
  <c r="E344" i="101"/>
  <c r="G344" i="101"/>
  <c r="H344" i="101"/>
  <c r="D345" i="101"/>
  <c r="F345" i="101"/>
  <c r="E345" i="101"/>
  <c r="G345" i="101"/>
  <c r="H345" i="101"/>
  <c r="D346" i="101"/>
  <c r="F346" i="101"/>
  <c r="E346" i="101"/>
  <c r="G346" i="101"/>
  <c r="H346" i="101"/>
  <c r="D347" i="101"/>
  <c r="F347" i="101"/>
  <c r="E347" i="101"/>
  <c r="G347" i="101"/>
  <c r="H347" i="101"/>
  <c r="D348" i="101"/>
  <c r="F348" i="101"/>
  <c r="E348" i="101"/>
  <c r="G348" i="101"/>
  <c r="H348" i="101"/>
  <c r="D349" i="101"/>
  <c r="F349" i="101"/>
  <c r="E349" i="101"/>
  <c r="G349" i="101"/>
  <c r="H349" i="101"/>
  <c r="D350" i="101"/>
  <c r="F350" i="101"/>
  <c r="E350" i="101"/>
  <c r="G350" i="101"/>
  <c r="H350" i="101"/>
  <c r="D351" i="101"/>
  <c r="F351" i="101"/>
  <c r="E351" i="101"/>
  <c r="G351" i="101"/>
  <c r="H351" i="101"/>
  <c r="D352" i="101"/>
  <c r="F352" i="101"/>
  <c r="E352" i="101"/>
  <c r="G352" i="101"/>
  <c r="H352" i="101"/>
  <c r="D353" i="101"/>
  <c r="F353" i="101"/>
  <c r="E353" i="101"/>
  <c r="G353" i="101"/>
  <c r="H353" i="101"/>
  <c r="D354" i="101"/>
  <c r="F354" i="101"/>
  <c r="E354" i="101"/>
  <c r="G354" i="101"/>
  <c r="H354" i="101"/>
  <c r="D355" i="101"/>
  <c r="F355" i="101"/>
  <c r="E355" i="101"/>
  <c r="G355" i="101"/>
  <c r="H355" i="101"/>
  <c r="D356" i="101"/>
  <c r="F356" i="101"/>
  <c r="E356" i="101"/>
  <c r="G356" i="101"/>
  <c r="H356" i="101"/>
  <c r="D357" i="101"/>
  <c r="F357" i="101"/>
  <c r="E357" i="101"/>
  <c r="G357" i="101"/>
  <c r="H357" i="101"/>
  <c r="D358" i="101"/>
  <c r="F358" i="101"/>
  <c r="E358" i="101"/>
  <c r="G358" i="101"/>
  <c r="H358" i="101"/>
  <c r="D359" i="101"/>
  <c r="F359" i="101"/>
  <c r="E359" i="101"/>
  <c r="G359" i="101"/>
  <c r="H359" i="101"/>
  <c r="D360" i="101"/>
  <c r="F360" i="101"/>
  <c r="E360" i="101"/>
  <c r="G360" i="101"/>
  <c r="H360" i="101"/>
  <c r="D361" i="101"/>
  <c r="F361" i="101"/>
  <c r="E361" i="101"/>
  <c r="G361" i="101"/>
  <c r="H361" i="101"/>
  <c r="D362" i="101"/>
  <c r="F362" i="101"/>
  <c r="E362" i="101"/>
  <c r="G362" i="101"/>
  <c r="H362" i="101"/>
  <c r="D363" i="101"/>
  <c r="F363" i="101"/>
  <c r="E363" i="101"/>
  <c r="G363" i="101"/>
  <c r="H363" i="101"/>
  <c r="D364" i="101"/>
  <c r="F364" i="101"/>
  <c r="E364" i="101"/>
  <c r="G364" i="101"/>
  <c r="H364" i="101"/>
  <c r="D365" i="101"/>
  <c r="F365" i="101"/>
  <c r="E365" i="101"/>
  <c r="G365" i="101"/>
  <c r="H365" i="101"/>
  <c r="D366" i="101"/>
  <c r="F366" i="101"/>
  <c r="E366" i="101"/>
  <c r="G366" i="101"/>
  <c r="H366" i="101"/>
  <c r="D367" i="101"/>
  <c r="F367" i="101"/>
  <c r="E367" i="101"/>
  <c r="G367" i="101"/>
  <c r="H367" i="101"/>
  <c r="D368" i="101"/>
  <c r="F368" i="101"/>
  <c r="E368" i="101"/>
  <c r="G368" i="101"/>
  <c r="H368" i="101"/>
  <c r="D369" i="101"/>
  <c r="F369" i="101"/>
  <c r="E369" i="101"/>
  <c r="G369" i="101"/>
  <c r="H369" i="101"/>
  <c r="D370" i="101"/>
  <c r="F370" i="101"/>
  <c r="E370" i="101"/>
  <c r="G370" i="101"/>
  <c r="H370" i="101"/>
  <c r="D371" i="101"/>
  <c r="F371" i="101"/>
  <c r="E371" i="101"/>
  <c r="G371" i="101"/>
  <c r="H371" i="101"/>
  <c r="D372" i="101"/>
  <c r="F372" i="101"/>
  <c r="E372" i="101"/>
  <c r="G372" i="101"/>
  <c r="H372" i="101"/>
  <c r="D373" i="101"/>
  <c r="F373" i="101"/>
  <c r="E373" i="101"/>
  <c r="G373" i="101"/>
  <c r="H373" i="101"/>
  <c r="D374" i="101"/>
  <c r="F374" i="101"/>
  <c r="E374" i="101"/>
  <c r="G374" i="101"/>
  <c r="H374" i="101"/>
  <c r="D375" i="101"/>
  <c r="F375" i="101"/>
  <c r="E375" i="101"/>
  <c r="G375" i="101"/>
  <c r="H375" i="101"/>
  <c r="D376" i="101"/>
  <c r="F376" i="101"/>
  <c r="E376" i="101"/>
  <c r="G376" i="101"/>
  <c r="H376" i="101"/>
  <c r="D377" i="101"/>
  <c r="F377" i="101"/>
  <c r="D8" i="101"/>
  <c r="E377" i="101"/>
  <c r="G377" i="101"/>
  <c r="H377" i="10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Blank</author>
  </authors>
  <commentList>
    <comment ref="K5" authorId="0" shapeId="0" xr:uid="{00000000-0006-0000-0100-000001000000}">
      <text>
        <r>
          <rPr>
            <b/>
            <sz val="9"/>
            <color indexed="81"/>
            <rFont val="Tahoma"/>
            <family val="2"/>
          </rPr>
          <t>Michael Blank:</t>
        </r>
        <r>
          <rPr>
            <sz val="9"/>
            <color indexed="81"/>
            <rFont val="Tahoma"/>
            <family val="2"/>
          </rPr>
          <t xml:space="preserve">
If refinance, use the IRR here.</t>
        </r>
      </text>
    </comment>
    <comment ref="K12" authorId="0" shapeId="0" xr:uid="{00000000-0006-0000-0100-000002000000}">
      <text>
        <r>
          <rPr>
            <b/>
            <sz val="9"/>
            <color indexed="81"/>
            <rFont val="Tahoma"/>
            <family val="2"/>
          </rPr>
          <t>Michael Blank:</t>
        </r>
        <r>
          <rPr>
            <sz val="9"/>
            <color indexed="81"/>
            <rFont val="Tahoma"/>
            <family val="2"/>
          </rPr>
          <t xml:space="preserve">
0.5% higher than the Cap Rate at Purchase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Blank</author>
  </authors>
  <commentList>
    <comment ref="AJ26" authorId="0" shapeId="0" xr:uid="{00000000-0006-0000-0200-000001000000}">
      <text>
        <r>
          <rPr>
            <sz val="8"/>
            <color indexed="81"/>
            <rFont val="Tahoma"/>
            <family val="2"/>
          </rPr>
          <t>Landlord pays water.
Tenants pay electric and gas.</t>
        </r>
      </text>
    </comment>
    <comment ref="AK26" authorId="0" shapeId="0" xr:uid="{00000000-0006-0000-0200-000002000000}">
      <text>
        <r>
          <rPr>
            <sz val="8"/>
            <color indexed="81"/>
            <rFont val="Tahoma"/>
            <family val="2"/>
          </rPr>
          <t>Landlord pays water  &amp; Gas. Tenants pay electric.</t>
        </r>
      </text>
    </comment>
    <comment ref="AE30" authorId="0" shapeId="0" xr:uid="{00000000-0006-0000-0200-000003000000}">
      <text>
        <r>
          <rPr>
            <b/>
            <sz val="8"/>
            <color indexed="81"/>
            <rFont val="Tahoma"/>
            <family val="2"/>
          </rPr>
          <t>Michael Blank:</t>
        </r>
        <r>
          <rPr>
            <sz val="8"/>
            <color indexed="81"/>
            <rFont val="Tahoma"/>
            <family val="2"/>
          </rPr>
          <t xml:space="preserve">
Pest Control is $25 per unit. Also consider landscaping, janitorial, snow removal. Estimate $200 per unit all in.</t>
        </r>
      </text>
    </comment>
    <comment ref="B55" authorId="0" shapeId="0" xr:uid="{00000000-0006-0000-0200-000004000000}">
      <text>
        <r>
          <rPr>
            <b/>
            <sz val="8"/>
            <color indexed="81"/>
            <rFont val="Tahoma"/>
            <family val="2"/>
          </rPr>
          <t>Michael Blank:</t>
        </r>
        <r>
          <rPr>
            <sz val="8"/>
            <color indexed="81"/>
            <rFont val="Tahoma"/>
            <family val="2"/>
          </rPr>
          <t xml:space="preserve">
Want 8.25+
Typical Cap Rates by property type:
A: 7%-
B: 8-9
C: 10-11
D: 12+</t>
        </r>
      </text>
    </comment>
    <comment ref="B56" authorId="0" shapeId="0" xr:uid="{00000000-0006-0000-0200-000005000000}">
      <text>
        <r>
          <rPr>
            <sz val="8"/>
            <color indexed="81"/>
            <rFont val="Tahoma"/>
            <family val="2"/>
          </rPr>
          <t>Desired cash on cash returns by market cycle:
B1: 15%+
S1: 15%+
S2: 20%+
B2: 10%+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Patrick` Duffy</author>
    <author>Michael Blank</author>
  </authors>
  <commentList>
    <comment ref="D5" authorId="0" shapeId="0" xr:uid="{06A1B823-C5E2-424B-A1CD-853405455F74}">
      <text>
        <r>
          <rPr>
            <b/>
            <sz val="9"/>
            <color indexed="81"/>
            <rFont val="Tahoma"/>
            <family val="2"/>
          </rPr>
          <t>Patrick` Duffy:</t>
        </r>
        <r>
          <rPr>
            <sz val="9"/>
            <color indexed="81"/>
            <rFont val="Tahoma"/>
            <family val="2"/>
          </rPr>
          <t xml:space="preserve">
Day 1 avg rent.
</t>
        </r>
      </text>
    </comment>
    <comment ref="D7" authorId="0" shapeId="0" xr:uid="{285CF426-E0B1-491E-BC71-3C42A2DE0AFB}">
      <text>
        <r>
          <rPr>
            <b/>
            <sz val="9"/>
            <color indexed="81"/>
            <rFont val="Tahoma"/>
            <family val="2"/>
          </rPr>
          <t>Patrick` Duffy:</t>
        </r>
        <r>
          <rPr>
            <sz val="9"/>
            <color indexed="81"/>
            <rFont val="Tahoma"/>
            <family val="2"/>
          </rPr>
          <t xml:space="preserve">
Assumes 50% turn over yr 1.</t>
        </r>
      </text>
    </comment>
    <comment ref="H16" authorId="0" shapeId="0" xr:uid="{00000000-0006-0000-0400-000001000000}">
      <text>
        <r>
          <rPr>
            <b/>
            <sz val="9"/>
            <color indexed="81"/>
            <rFont val="Tahoma"/>
            <family val="2"/>
          </rPr>
          <t>Patrick` Duffy:</t>
        </r>
        <r>
          <rPr>
            <sz val="9"/>
            <color indexed="81"/>
            <rFont val="Tahoma"/>
            <family val="2"/>
          </rPr>
          <t xml:space="preserve">
Expiration of Pinebrook PILOT.</t>
        </r>
      </text>
    </comment>
    <comment ref="L16" authorId="0" shapeId="0" xr:uid="{00000000-0006-0000-0400-000002000000}">
      <text>
        <r>
          <rPr>
            <b/>
            <sz val="9"/>
            <color indexed="81"/>
            <rFont val="Tahoma"/>
            <family val="2"/>
          </rPr>
          <t>Patrick` Duffy:</t>
        </r>
        <r>
          <rPr>
            <sz val="9"/>
            <color indexed="81"/>
            <rFont val="Tahoma"/>
            <family val="2"/>
          </rPr>
          <t xml:space="preserve">
Expiration of Grahamwood PILOT.</t>
        </r>
      </text>
    </comment>
    <comment ref="D30" authorId="1" shapeId="0" xr:uid="{00000000-0006-0000-0400-000003000000}">
      <text>
        <r>
          <rPr>
            <sz val="8"/>
            <color indexed="81"/>
            <rFont val="Tahoma"/>
            <family val="2"/>
          </rPr>
          <t>By Default, the "Total Expenses" come from the Summary tab.
You can override the expenses in this P&amp;L in two ways:
(1) By entering numbers into this P&amp;L directly; or
(2) By entering expenses in the tab "Scenarios", column "Projected".</t>
        </r>
      </text>
    </comment>
    <comment ref="F30" authorId="1" shapeId="0" xr:uid="{00000000-0006-0000-0400-000004000000}">
      <text>
        <r>
          <rPr>
            <sz val="8"/>
            <color indexed="81"/>
            <rFont val="Tahoma"/>
            <family val="2"/>
          </rPr>
          <t>By Default, the "Total Expenses" come from the Summary tab.
You can override the expenses in this P&amp;L in two ways:
(1) By entering numbers into this P&amp;L directly; or
(2) By entering expenses in the tab "Scenarios", column "Projected".</t>
        </r>
      </text>
    </comment>
    <comment ref="H30" authorId="1" shapeId="0" xr:uid="{00000000-0006-0000-0400-000005000000}">
      <text>
        <r>
          <rPr>
            <sz val="8"/>
            <color indexed="81"/>
            <rFont val="Tahoma"/>
            <family val="2"/>
          </rPr>
          <t>By Default, the "Total Expenses" come from the Summary tab.
You can override the expenses in this P&amp;L in two ways:
(1) By entering numbers into this P&amp;L directly; or
(2) By entering expenses in the tab "Scenarios", column "Projected".</t>
        </r>
      </text>
    </comment>
    <comment ref="J30" authorId="1" shapeId="0" xr:uid="{00000000-0006-0000-0400-000006000000}">
      <text>
        <r>
          <rPr>
            <sz val="8"/>
            <color indexed="81"/>
            <rFont val="Tahoma"/>
            <family val="2"/>
          </rPr>
          <t>By Default, the "Total Expenses" come from the Summary tab.
You can override the expenses in this P&amp;L in two ways:
(1) By entering numbers into this P&amp;L directly; or
(2) By entering expenses in the tab "Scenarios", column "Projected".</t>
        </r>
      </text>
    </comment>
    <comment ref="L30" authorId="1" shapeId="0" xr:uid="{00000000-0006-0000-0400-000007000000}">
      <text>
        <r>
          <rPr>
            <sz val="8"/>
            <color indexed="81"/>
            <rFont val="Tahoma"/>
            <family val="2"/>
          </rPr>
          <t>By Default, the "Total Expenses" come from the Summary tab.
You can override the expenses in this P&amp;L in two ways:
(1) By entering numbers into this P&amp;L directly; or
(2) By entering expenses in the tab "Scenarios", column "Projected".</t>
        </r>
      </text>
    </comment>
    <comment ref="N30" authorId="1" shapeId="0" xr:uid="{00000000-0006-0000-0400-000008000000}">
      <text>
        <r>
          <rPr>
            <sz val="8"/>
            <color indexed="81"/>
            <rFont val="Tahoma"/>
            <family val="2"/>
          </rPr>
          <t>By Default, the "Total Expenses" come from the Summary tab.
You can override the expenses in this P&amp;L in two ways:
(1) By entering numbers into this P&amp;L directly; or
(2) By entering expenses in the tab "Scenarios", column "Projected".</t>
        </r>
      </text>
    </comment>
    <comment ref="P30" authorId="1" shapeId="0" xr:uid="{00000000-0006-0000-0400-000009000000}">
      <text>
        <r>
          <rPr>
            <sz val="8"/>
            <color indexed="81"/>
            <rFont val="Tahoma"/>
            <family val="2"/>
          </rPr>
          <t>By Default, the "Total Expenses" come from the Summary tab.
You can override the expenses in this P&amp;L in two ways:
(1) By entering numbers into this P&amp;L directly; or
(2) By entering expenses in the tab "Scenarios", column "Projected".</t>
        </r>
      </text>
    </comment>
    <comment ref="R30" authorId="1" shapeId="0" xr:uid="{00000000-0006-0000-0400-00000A000000}">
      <text>
        <r>
          <rPr>
            <sz val="8"/>
            <color indexed="81"/>
            <rFont val="Tahoma"/>
            <family val="2"/>
          </rPr>
          <t>By Default, the "Total Expenses" come from the Summary tab.
You can override the expenses in this P&amp;L in two ways:
(1) By entering numbers into this P&amp;L directly; or
(2) By entering expenses in the tab "Scenarios", column "Projected".</t>
        </r>
      </text>
    </comment>
    <comment ref="T30" authorId="1" shapeId="0" xr:uid="{00000000-0006-0000-0400-00000B000000}">
      <text>
        <r>
          <rPr>
            <sz val="8"/>
            <color indexed="81"/>
            <rFont val="Tahoma"/>
            <family val="2"/>
          </rPr>
          <t>By Default, the "Total Expenses" come from the Summary tab.
You can override the expenses in this P&amp;L in two ways:
(1) By entering numbers into this P&amp;L directly; or
(2) By entering expenses in the tab "Scenarios", column "Projected".</t>
        </r>
      </text>
    </comment>
    <comment ref="V30" authorId="1" shapeId="0" xr:uid="{00000000-0006-0000-0400-00000C000000}">
      <text>
        <r>
          <rPr>
            <sz val="8"/>
            <color indexed="81"/>
            <rFont val="Tahoma"/>
            <family val="2"/>
          </rPr>
          <t>By Default, the "Total Expenses" come from the Summary tab.
You can override the expenses in this P&amp;L in two ways:
(1) By entering numbers into this P&amp;L directly; or
(2) By entering expenses in the tab "Scenarios", column "Projected".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author>
  </authors>
  <commentList>
    <comment ref="H19" authorId="0" shapeId="0" xr:uid="{00000000-0006-0000-0600-000001000000}">
      <text>
        <r>
          <rPr>
            <b/>
            <sz val="9"/>
            <color indexed="81"/>
            <rFont val="Tahoma"/>
            <family val="2"/>
          </rPr>
          <t>Michael:</t>
        </r>
        <r>
          <rPr>
            <sz val="9"/>
            <color indexed="81"/>
            <rFont val="Tahoma"/>
            <family val="2"/>
          </rPr>
          <t xml:space="preserve">
If Net Proceeds accommodate the Capital Transaction Fee, then pay it, otherwise not.</t>
        </r>
      </text>
    </comment>
    <comment ref="D25" authorId="0" shapeId="0" xr:uid="{00000000-0006-0000-0600-000002000000}">
      <text>
        <r>
          <rPr>
            <b/>
            <sz val="9"/>
            <color indexed="81"/>
            <rFont val="Tahoma"/>
            <family val="2"/>
          </rPr>
          <t>Michael:</t>
        </r>
        <r>
          <rPr>
            <sz val="9"/>
            <color indexed="81"/>
            <rFont val="Tahoma"/>
            <family val="2"/>
          </rPr>
          <t xml:space="preserve">
If ALL Member Capital is returned, then pay out Capital Transaction Fee to Mgr, then split whatever is left pro-rata.</t>
        </r>
      </text>
    </comment>
  </commentList>
</comments>
</file>

<file path=xl/sharedStrings.xml><?xml version="1.0" encoding="utf-8"?>
<sst xmlns="http://schemas.openxmlformats.org/spreadsheetml/2006/main" count="675" uniqueCount="409">
  <si>
    <t>End of Year</t>
  </si>
  <si>
    <t>Month</t>
  </si>
  <si>
    <t>Simple Interest Loan Amortization Table - 1st Mortgage</t>
  </si>
  <si>
    <t>Monthly Payment</t>
  </si>
  <si>
    <t>Number of Years</t>
  </si>
  <si>
    <t>Simple Interest Loan Amortization Table - 2nd Mortgage</t>
  </si>
  <si>
    <t>Year 1</t>
  </si>
  <si>
    <t>Year 2</t>
  </si>
  <si>
    <t>Principal</t>
  </si>
  <si>
    <t>IRR</t>
  </si>
  <si>
    <t>Year</t>
  </si>
  <si>
    <t>Net Operating Income</t>
  </si>
  <si>
    <t>Purchase Price</t>
  </si>
  <si>
    <t>Interest Rate</t>
  </si>
  <si>
    <t>Annual Debt Service</t>
  </si>
  <si>
    <t>Debt Service</t>
  </si>
  <si>
    <t>Down Payment</t>
  </si>
  <si>
    <t>Total Interest Paid</t>
  </si>
  <si>
    <t>Payment
Amount</t>
  </si>
  <si>
    <t>Interest</t>
  </si>
  <si>
    <t>Cumulative Interest</t>
  </si>
  <si>
    <t>Principal Paid</t>
  </si>
  <si>
    <t>Balance</t>
  </si>
  <si>
    <t># Units</t>
  </si>
  <si>
    <t>Cap Rate</t>
  </si>
  <si>
    <t>Other Income</t>
  </si>
  <si>
    <t>Real Estate Taxes</t>
  </si>
  <si>
    <t>Insurance</t>
  </si>
  <si>
    <t>Legal</t>
  </si>
  <si>
    <t>Management Fees</t>
  </si>
  <si>
    <t xml:space="preserve">Repairs and Maintenance </t>
  </si>
  <si>
    <t>Other</t>
  </si>
  <si>
    <t>Net Operating Income (NOI)</t>
  </si>
  <si>
    <t>Summary</t>
  </si>
  <si>
    <t>Cap Rate (NOI/Sales Price)</t>
  </si>
  <si>
    <t>Sales Price</t>
  </si>
  <si>
    <t>Price Per Unit</t>
  </si>
  <si>
    <t>General/Admin</t>
  </si>
  <si>
    <t>Payroll</t>
  </si>
  <si>
    <t>Less Loan Amount</t>
  </si>
  <si>
    <t>Survey</t>
  </si>
  <si>
    <t>Recording</t>
  </si>
  <si>
    <t>Total</t>
  </si>
  <si>
    <t>Contract Services</t>
  </si>
  <si>
    <t>Total Acquisition Cost</t>
  </si>
  <si>
    <t>Gross Potential Income</t>
  </si>
  <si>
    <t>Effective Gross Income</t>
  </si>
  <si>
    <t xml:space="preserve">  - Vacancy</t>
  </si>
  <si>
    <t>INCOME</t>
  </si>
  <si>
    <t>EXPENSES</t>
  </si>
  <si>
    <t>Total Expenses (Added)</t>
  </si>
  <si>
    <t>Total Debt Service</t>
  </si>
  <si>
    <t>Cash Flow available for Distribution</t>
  </si>
  <si>
    <t>Distributions from Cash Flow</t>
  </si>
  <si>
    <t xml:space="preserve">   Asset Mgt Fee to Manager</t>
  </si>
  <si>
    <t xml:space="preserve">   Excess Cash Flow to Members</t>
  </si>
  <si>
    <t>Member Contribution</t>
  </si>
  <si>
    <t>Total Expenses</t>
  </si>
  <si>
    <t>Deposit to Replacement Reserve</t>
  </si>
  <si>
    <t>Outstanding Loan Balance</t>
  </si>
  <si>
    <t>Cash Requirements at Closing / 
Members Capital</t>
  </si>
  <si>
    <t>Return of Member Capital</t>
  </si>
  <si>
    <t>Member Equity</t>
  </si>
  <si>
    <t>Manager Equity</t>
  </si>
  <si>
    <t>Preferred Return to Members</t>
  </si>
  <si>
    <t>Asset Mgt Fee to Manager</t>
  </si>
  <si>
    <t>Capital Transaction Fee to Mgr</t>
  </si>
  <si>
    <t>Total Equity</t>
  </si>
  <si>
    <t>Cash Flow Distribution</t>
  </si>
  <si>
    <t>Total Distributions to Members</t>
  </si>
  <si>
    <t>Summary of Projected Member Cash Flows and Returns</t>
  </si>
  <si>
    <t xml:space="preserve">   Excess Cash Flow to Mgr</t>
  </si>
  <si>
    <t>FINANCIAL ASSUMPTIONS</t>
  </si>
  <si>
    <t>Total Closing and Other Costs</t>
  </si>
  <si>
    <t>Cash flow after debt service</t>
  </si>
  <si>
    <t>Member Cashflow</t>
  </si>
  <si>
    <t>Cash on Cash Return</t>
  </si>
  <si>
    <t>Total Return in Investment</t>
  </si>
  <si>
    <t>Return %</t>
  </si>
  <si>
    <t>Return $</t>
  </si>
  <si>
    <t>Member Cash on Cash Return</t>
  </si>
  <si>
    <t>Summary of Projected Manager Cash Flows and Returns</t>
  </si>
  <si>
    <t>Expenses</t>
  </si>
  <si>
    <t>Per Unit</t>
  </si>
  <si>
    <t>Summary of Combined Cash Flows and Returns</t>
  </si>
  <si>
    <t>Cash Flow After Debt Service</t>
  </si>
  <si>
    <t>KEY INDICATORS</t>
  </si>
  <si>
    <t>Debt Coverage Ratio</t>
  </si>
  <si>
    <t>PURCHASE</t>
  </si>
  <si>
    <t>Closing Costs</t>
  </si>
  <si>
    <t>Gross Scheduled Income</t>
  </si>
  <si>
    <t>- Vacancy</t>
  </si>
  <si>
    <t>= Effective Rental Income</t>
  </si>
  <si>
    <t>+ Other Income</t>
  </si>
  <si>
    <t>Annual Rent Escalator</t>
  </si>
  <si>
    <t>Annual Expense Escalator</t>
  </si>
  <si>
    <t>Asking Price</t>
  </si>
  <si>
    <t>Management Fee</t>
  </si>
  <si>
    <t>Electric</t>
  </si>
  <si>
    <t>Gas</t>
  </si>
  <si>
    <t>Gross Rent Multiplier</t>
  </si>
  <si>
    <t>Property Value</t>
  </si>
  <si>
    <t>Acquisition Fee</t>
  </si>
  <si>
    <t>Downpayment %</t>
  </si>
  <si>
    <t>Downpayment $</t>
  </si>
  <si>
    <t>Loan Balance</t>
  </si>
  <si>
    <t>Use of Capital</t>
  </si>
  <si>
    <t>Closing Costs (see below)</t>
  </si>
  <si>
    <t>Repair Escrows</t>
  </si>
  <si>
    <t>Closing Costs and Reimbursable Expenses</t>
  </si>
  <si>
    <t>Lender Fees and 3rd Party Reports</t>
  </si>
  <si>
    <t>EDR (Environmental)</t>
  </si>
  <si>
    <t>Structural Inspection</t>
  </si>
  <si>
    <t>Bank Doc Prep Fee</t>
  </si>
  <si>
    <t>Total Lender Fees and Reports</t>
  </si>
  <si>
    <t>Title Processing Fee</t>
  </si>
  <si>
    <t>Title Search</t>
  </si>
  <si>
    <t>Total Closing Costs</t>
  </si>
  <si>
    <t>Term / Amortization</t>
  </si>
  <si>
    <t>Beginning Balance</t>
  </si>
  <si>
    <t>Interest Paid</t>
  </si>
  <si>
    <t>Ending Balance</t>
  </si>
  <si>
    <t>TOTALS</t>
  </si>
  <si>
    <t>2nd Mortgage</t>
  </si>
  <si>
    <t>1st Mortgage</t>
  </si>
  <si>
    <t>Property Value Per Cap Rate</t>
  </si>
  <si>
    <t>INVESTOR RETURNS</t>
  </si>
  <si>
    <t>Loan Amount</t>
  </si>
  <si>
    <t>Principal Reduction</t>
  </si>
  <si>
    <t>Appreciation</t>
  </si>
  <si>
    <t>Legal Fees</t>
  </si>
  <si>
    <t>Trash Removal</t>
  </si>
  <si>
    <t>Water and Sewer</t>
  </si>
  <si>
    <t>Legal Fees (LLC, PPM)*</t>
  </si>
  <si>
    <t>Appraisal*</t>
  </si>
  <si>
    <t>* Typically Payable Before Closing</t>
  </si>
  <si>
    <t>Debt Service Summary</t>
  </si>
  <si>
    <t>Sales Cost</t>
  </si>
  <si>
    <t>Projected Returns - 10 Years</t>
  </si>
  <si>
    <t>Acquisition Costs</t>
  </si>
  <si>
    <t xml:space="preserve">The information herein is not guaranteed but believed to be accurate.    </t>
  </si>
  <si>
    <t>Executive Summary</t>
  </si>
  <si>
    <t>Side-by-Side Scenarios</t>
  </si>
  <si>
    <t>Total Expenses (Manual Override)</t>
  </si>
  <si>
    <t>Cap Rate at Re-Sale</t>
  </si>
  <si>
    <t>General Rule of Thumb</t>
  </si>
  <si>
    <t xml:space="preserve">From Appraiser  </t>
  </si>
  <si>
    <t>Other Properties</t>
  </si>
  <si>
    <t>My Rule of Thumb</t>
  </si>
  <si>
    <t>Per Year</t>
  </si>
  <si>
    <t>Propery 1</t>
  </si>
  <si>
    <t>Property 2</t>
  </si>
  <si>
    <t>Comment</t>
  </si>
  <si>
    <t>.01 of Sales Price</t>
  </si>
  <si>
    <t>0.007 of sales price</t>
  </si>
  <si>
    <t>$400/unit</t>
  </si>
  <si>
    <t>$100/unit for common areas. If owner pays, use $100/unit/month.</t>
  </si>
  <si>
    <t>If owner pays, $100/unit/mnth</t>
  </si>
  <si>
    <t>$200 per unit</t>
  </si>
  <si>
    <t>5-10% of Gross Income</t>
  </si>
  <si>
    <t>$200 per unit per year</t>
  </si>
  <si>
    <t>10% of Gross Income</t>
  </si>
  <si>
    <t>Varies</t>
  </si>
  <si>
    <t>Replacement Reserves</t>
  </si>
  <si>
    <t>$150 per unit</t>
  </si>
  <si>
    <t>Appraised Value</t>
  </si>
  <si>
    <t>Re-Finance LTV</t>
  </si>
  <si>
    <t>Re-Finance Loan Amount</t>
  </si>
  <si>
    <t>- Re-Finance Costs</t>
  </si>
  <si>
    <t>- Repay Outstanding Loan Balance</t>
  </si>
  <si>
    <t>= Gross Proceeds from Re-Finance</t>
  </si>
  <si>
    <t>Cumulative Principal</t>
  </si>
  <si>
    <t>Exit Strategy</t>
  </si>
  <si>
    <t>Term / Amortization (Years)</t>
  </si>
  <si>
    <t>Cap Rate at Re-Finance</t>
  </si>
  <si>
    <t>1st Mortgage Re-Financed</t>
  </si>
  <si>
    <t>Total Cash to Members at Re-Finance
(Initial Capital + Appreciation)</t>
  </si>
  <si>
    <t>Total Cash to Members at Sale
(Initial Capital + Appreciation)</t>
  </si>
  <si>
    <t>After Final Disposition</t>
  </si>
  <si>
    <t>NA</t>
  </si>
  <si>
    <t>Re-Fi</t>
  </si>
  <si>
    <t>Sale</t>
  </si>
  <si>
    <t>Sale / Disposition at End of Year</t>
  </si>
  <si>
    <t>Earnest Money Depost (EMD)</t>
  </si>
  <si>
    <t>Total Net Income</t>
  </si>
  <si>
    <t>Proceeds from Refinance or Sale</t>
  </si>
  <si>
    <t>Average Annual Return to Date</t>
  </si>
  <si>
    <t>Net Proceeds/Profits from Refinance or Sale</t>
  </si>
  <si>
    <t>Net Proceeds/Profit Paid to Members</t>
  </si>
  <si>
    <t>Net Proceeds/Profit Paid to Manager</t>
  </si>
  <si>
    <t>Net Proceeds/Profit from Sale</t>
  </si>
  <si>
    <t>Net Proceeds/Profit from Re-Finance</t>
  </si>
  <si>
    <t>Ending Capital Account Balance</t>
  </si>
  <si>
    <t>Capital Account Balance After Re-Fi</t>
  </si>
  <si>
    <t>Total Profits from Appreciation Paid to Members</t>
  </si>
  <si>
    <t>Total Cash to Members
(Initial Capital + Profits from Appreciation)</t>
  </si>
  <si>
    <t>Beginning Member Capital Account Balance</t>
  </si>
  <si>
    <t>Ending Member Capital Account Balance</t>
  </si>
  <si>
    <t>Disposition End of Year</t>
  </si>
  <si>
    <t>TOTAL</t>
  </si>
  <si>
    <t>Total Cashflow</t>
  </si>
  <si>
    <t>Summary of Total Projected Cash Flows and Returns</t>
  </si>
  <si>
    <t>Internal Rate of Return (IRR)</t>
  </si>
  <si>
    <t>Total Member Capital Needed to Close</t>
  </si>
  <si>
    <t>Average Annual Return …………………..</t>
  </si>
  <si>
    <t>Member Cash on Cash Return (Year 1)</t>
  </si>
  <si>
    <t xml:space="preserve">  - Concessions, Loss to Lease, Bad Debt</t>
  </si>
  <si>
    <t>- Concessions, Loss to Lease, Bad Debt</t>
  </si>
  <si>
    <t>Cash Flow to Members (Year 1)</t>
  </si>
  <si>
    <t>INCOME &amp; EXPENSES (Year 1)</t>
  </si>
  <si>
    <t>Rules of Thumb</t>
  </si>
  <si>
    <t xml:space="preserve">   Members Preferred Return Paid</t>
  </si>
  <si>
    <t xml:space="preserve">   Members Preferred Return Due</t>
  </si>
  <si>
    <t xml:space="preserve">   Members Preferred Return Deficiency</t>
  </si>
  <si>
    <t>Populate With Scenario #</t>
  </si>
  <si>
    <t>2. My Version</t>
  </si>
  <si>
    <t>3. Projected</t>
  </si>
  <si>
    <t>4. Offer</t>
  </si>
  <si>
    <t>Scenario #</t>
  </si>
  <si>
    <t>None</t>
  </si>
  <si>
    <t>Origination Fee</t>
  </si>
  <si>
    <t>Title Policy</t>
  </si>
  <si>
    <t>Transfer Taxes</t>
  </si>
  <si>
    <t>Propery Inspection*</t>
  </si>
  <si>
    <t>Lead Paint Inspection*</t>
  </si>
  <si>
    <t>Interest-Only (Months)</t>
  </si>
  <si>
    <t>Average Monthly Rent</t>
  </si>
  <si>
    <t>Year 3</t>
  </si>
  <si>
    <t>Year 4</t>
  </si>
  <si>
    <t>Year 5</t>
  </si>
  <si>
    <t>Year 6</t>
  </si>
  <si>
    <t>Year 7</t>
  </si>
  <si>
    <t>Year 8</t>
  </si>
  <si>
    <t>Year 9</t>
  </si>
  <si>
    <t>Year 10</t>
  </si>
  <si>
    <t xml:space="preserve">    </t>
  </si>
  <si>
    <t>Scenario Columns:</t>
  </si>
  <si>
    <t>% of Overall Membership Ownership for $ Invested</t>
  </si>
  <si>
    <t>Asset Management Fee</t>
  </si>
  <si>
    <t>Member Returns Based On Specific $ Invested</t>
  </si>
  <si>
    <t>Comments</t>
  </si>
  <si>
    <t>Split</t>
  </si>
  <si>
    <t>Cash Out Re-Finance End of Year</t>
  </si>
  <si>
    <t>Refinance End of Year</t>
  </si>
  <si>
    <t>Simple Interest Loan Amortization Table - 1st Mortgage After Refi</t>
  </si>
  <si>
    <t xml:space="preserve">Average Monthly Rent  </t>
  </si>
  <si>
    <t>General Partnership Split Worksheet</t>
  </si>
  <si>
    <t>Capital Account Balance (Begin of Year)</t>
  </si>
  <si>
    <t>No</t>
  </si>
  <si>
    <t>Yes</t>
  </si>
  <si>
    <t>Verbal Agreement</t>
  </si>
  <si>
    <t>LOI Submitted</t>
  </si>
  <si>
    <t>LOI Ratified</t>
  </si>
  <si>
    <t>Contract Ratified</t>
  </si>
  <si>
    <t>Click to Select</t>
  </si>
  <si>
    <t>Contract Submitted</t>
  </si>
  <si>
    <t>Contract Received</t>
  </si>
  <si>
    <t>No Verbal Agreement Yet</t>
  </si>
  <si>
    <t>Nicely done! Time to submit an LOI and/or to submit the deal to the Deal Desk!</t>
  </si>
  <si>
    <t>Exciting … fingers crossed!</t>
  </si>
  <si>
    <t>Well done … the contract is next. If you haven't submitted the deal to the Deal Desk, now is the time to do it.</t>
  </si>
  <si>
    <t xml:space="preserve">Nicely done! </t>
  </si>
  <si>
    <t>AWESOME! Let's get busy with due diligence!</t>
  </si>
  <si>
    <t>Where Are You With the Negotiation?</t>
  </si>
  <si>
    <t>What City Is This Property In?</t>
  </si>
  <si>
    <t>Cleary Describe the PROBLEM with this Property and Your SOLUTION.</t>
  </si>
  <si>
    <t>Is the property poorly managed? Why? Is it self-managed or some other reason? What makes you think you can manage it better?</t>
  </si>
  <si>
    <t>Are there any down units? If so, why are they down? What needs to happen to get them rent-ready?</t>
  </si>
  <si>
    <t>Are vacancies high? If so, why? How do you know this? What needs to happen to achieve the occupancy targets?</t>
  </si>
  <si>
    <t>Are the expenses high? If so, why? How do you know this? What is your plan for reducing the expenses?</t>
  </si>
  <si>
    <t>Did You Visit the Property?</t>
  </si>
  <si>
    <t>Great initiative!</t>
  </si>
  <si>
    <t>Not a big deal, just asking :)</t>
  </si>
  <si>
    <t>How Did You Arrive at the Cap Rate at Re-Sale?</t>
  </si>
  <si>
    <t>Why Is The Owner Selling?</t>
  </si>
  <si>
    <t>Have You Spoken To a Mortgage Broker/Lender?</t>
  </si>
  <si>
    <t>Rockin ..!</t>
  </si>
  <si>
    <t>GP %</t>
  </si>
  <si>
    <t>% of GP</t>
  </si>
  <si>
    <t>Sourcing, Contract, Due Diligence and Closing</t>
  </si>
  <si>
    <t>SUB-TOTAL</t>
  </si>
  <si>
    <t>Risk Capital (EMD &amp; DD Expenses)</t>
  </si>
  <si>
    <t>Money Raiser</t>
  </si>
  <si>
    <t>Target Money Raise</t>
  </si>
  <si>
    <t>Balance Sheet Guarantor</t>
  </si>
  <si>
    <t>Asset Management</t>
  </si>
  <si>
    <t>Overall</t>
  </si>
  <si>
    <t>% of Overall Membership</t>
  </si>
  <si>
    <t>Student</t>
  </si>
  <si>
    <t>The Michael Blank Team</t>
  </si>
  <si>
    <t>Partner 3</t>
  </si>
  <si>
    <t>Partner 4</t>
  </si>
  <si>
    <t>Loan guarantor</t>
  </si>
  <si>
    <t>Finds the deal, responsible for most of the due diligence.</t>
  </si>
  <si>
    <t>Both parties are equally responsible for asset management and ongoing operations.</t>
  </si>
  <si>
    <t>Partnership Opportunity Fee</t>
  </si>
  <si>
    <t>Invited to raise equity but not committed</t>
  </si>
  <si>
    <t>Committed to raise all equity</t>
  </si>
  <si>
    <t>Proof of funds/experience to ratify contract, oversight of DD, secure funding, ultimately responsible for closing.</t>
  </si>
  <si>
    <t>The parties split the deposit and DD costs</t>
  </si>
  <si>
    <t>Compensation for The MB Team for enabling the JV Opportunity.</t>
  </si>
  <si>
    <t xml:space="preserve">Copyright© 2017 Michael Blank.           </t>
  </si>
  <si>
    <t>Type</t>
  </si>
  <si>
    <t>Attorney Fees</t>
  </si>
  <si>
    <t>Lender Legal Fees</t>
  </si>
  <si>
    <t>Reserves for Closing</t>
  </si>
  <si>
    <t>Real Estate Taxes (6 Months)</t>
  </si>
  <si>
    <t>Insurance (6 Months)</t>
  </si>
  <si>
    <t>Total Reserves</t>
  </si>
  <si>
    <t>Other Costs</t>
  </si>
  <si>
    <t>Total Other Costs</t>
  </si>
  <si>
    <t>Travel</t>
  </si>
  <si>
    <t>Lender-Required Reserves</t>
  </si>
  <si>
    <t>Deal Readiness Questionnaire</t>
  </si>
  <si>
    <t>If you're considering submitting the deal to the Deal Desk, then you need at least a verbal agreement around a number that makes sense before proceeding.</t>
  </si>
  <si>
    <t>Do You Want to Submit This Deal to the Deal Desk?</t>
  </si>
  <si>
    <t>Provide details about your estimated repairs you provided in the "Summary" tab.</t>
  </si>
  <si>
    <t>Click here to learn more about the Deal Desk Submission Process.</t>
  </si>
  <si>
    <t>% of Initial Investment Returned</t>
  </si>
  <si>
    <t>Repairs and Reserves</t>
  </si>
  <si>
    <t>Cap Rate At Purchase</t>
  </si>
  <si>
    <t>Debt Coverage Ratio (Year 1)</t>
  </si>
  <si>
    <t>Average Cash on Cash Return to Date</t>
  </si>
  <si>
    <t>Average Cash on Cash Return</t>
  </si>
  <si>
    <t>Cash on Cash Return (Average)</t>
  </si>
  <si>
    <t>IRR ………………………………………….</t>
  </si>
  <si>
    <t>Key Metric</t>
  </si>
  <si>
    <t>Actual</t>
  </si>
  <si>
    <t>Deal Readiness Dashboard</t>
  </si>
  <si>
    <t>Fantastic! Please visit www.TheMichaelBlank.com/dealdesk for the most current Deal Desk process. You must satisfy all of the requirements before submitting this deal to the deal Desk.</t>
  </si>
  <si>
    <t>Value-Add</t>
  </si>
  <si>
    <t>Stable</t>
  </si>
  <si>
    <t>Nice job!</t>
  </si>
  <si>
    <t>Cap Rate at Resale</t>
  </si>
  <si>
    <t>Repairs and Reserves (Summary tab, Line 20) should include at least one month's income of working capital $1,000/unit in repairs.</t>
  </si>
  <si>
    <t>Nice job being conservative with the Cap Rate at Re-Sale!</t>
  </si>
  <si>
    <t>Sale in Year 5</t>
  </si>
  <si>
    <t>Minimum Criteria</t>
  </si>
  <si>
    <t>If rents are low, why are the low? How do you know (i.e. who did you you talk to)? What's the plan to raise rents, and what will it take and how much will it cost to achieve the target rents?</t>
  </si>
  <si>
    <t>Message if Over Minimum Target</t>
  </si>
  <si>
    <t>Message if Under Minimum Target</t>
  </si>
  <si>
    <r>
      <t xml:space="preserve">Provide an Executive Summary of This Deal
</t>
    </r>
    <r>
      <rPr>
        <sz val="8"/>
        <rFont val="Arial"/>
        <family val="2"/>
      </rPr>
      <t>If you had 60 seconds to explain this deal to someone else, what would you say?</t>
    </r>
  </si>
  <si>
    <t>Before you make a formal offer (LOI or Contract) or before you submit the deal to the Deal Desk, complete this questionnaire to make sure the deal is ready. It will ensure that you've researched the deal enough to move forward. If you can't answer these questions thoroughly, you may need to do some more work.</t>
  </si>
  <si>
    <t>Not a big deal, just asking :) It's not a requirement before getting it under contract, but it's a nice-to-have.</t>
  </si>
  <si>
    <t>Nice job! What terms did you get? Overwrite this cell with the answer.</t>
  </si>
  <si>
    <t>A Stable deal can have slightly lower returns than a Value-Add deal. The Minimum Criteria in the Deal Readiness Dashboard were updated accordingly.</t>
  </si>
  <si>
    <t>A Value-Add deal requires a slightly higher return that a stable deal. The Minimum Criteria in the Deal Readiness Dashboard were updated accordingly.</t>
  </si>
  <si>
    <t>Cool, just asking. If you'd like partner with Michael on this deal and learn more about the Deal Desk, please visit www.TheMichaelBlank.com/dealdesk.</t>
  </si>
  <si>
    <t>Nice job making the deal work with a sale in Year 5!</t>
  </si>
  <si>
    <t>Investors want their money back after 5 years, so the deal has GOT to work with a sale in Year 5. Otherwise it may be difficult to get the investors on board.</t>
  </si>
  <si>
    <t>Purchase</t>
  </si>
  <si>
    <t>Total Return on Investment</t>
  </si>
  <si>
    <t>Manager Compensation</t>
  </si>
  <si>
    <t>Capital Transaction Fee</t>
  </si>
  <si>
    <t>Total Manager Compensation</t>
  </si>
  <si>
    <t>Refinance AND Return All Capital?</t>
  </si>
  <si>
    <t>Refinance?</t>
  </si>
  <si>
    <t>Debt Coverage Ratio (DCR)</t>
  </si>
  <si>
    <t>% of Capital Returned With Refinance</t>
  </si>
  <si>
    <t>Average Cash on Cash (COC) Return</t>
  </si>
  <si>
    <t>Internal Use</t>
  </si>
  <si>
    <t>Average Annual Return (AAR)</t>
  </si>
  <si>
    <t>It's risky to assume you can refinance in Years 3 or 4. What if the market turns? A refinance in the first two years is OK See if you can get the deal to work without a refinance in Years 3 or 4.</t>
  </si>
  <si>
    <t>Nice job not refinancing in Years 3 or 4! It's risky to assume you can refinance in Years 3 or 4. What if the market turns? A refinance in the first two years is OK.</t>
  </si>
  <si>
    <t>No Refinance in Year 3 or 4</t>
  </si>
  <si>
    <r>
      <t xml:space="preserve">Would You Consider this a "Value-Add" or "Stable" Deal?
</t>
    </r>
    <r>
      <rPr>
        <sz val="8"/>
        <rFont val="Arial"/>
        <family val="2"/>
      </rPr>
      <t>This slightly changes the Minimum Criteria in the Deal Readiness Dashboard.</t>
    </r>
  </si>
  <si>
    <t>Click to lookup Your State's Transfer Taxes.</t>
  </si>
  <si>
    <t>5. Scenario A</t>
  </si>
  <si>
    <t>6. Scenario B</t>
  </si>
  <si>
    <t>7. Scenario C</t>
  </si>
  <si>
    <t>8. Scenario D</t>
  </si>
  <si>
    <t>Estimated closing costs</t>
  </si>
  <si>
    <t>ACQUISITION</t>
  </si>
  <si>
    <t>Rent Roll Analysis</t>
  </si>
  <si>
    <t>N</t>
  </si>
  <si>
    <t>SF</t>
  </si>
  <si>
    <t>Current</t>
  </si>
  <si>
    <t>Market</t>
  </si>
  <si>
    <t>Proforma Avg. Rent</t>
  </si>
  <si>
    <t>1B1BA</t>
  </si>
  <si>
    <t>2B1.5BA</t>
  </si>
  <si>
    <t>3B2BA</t>
  </si>
  <si>
    <t>Market Upside</t>
  </si>
  <si>
    <t>Post-Renovation</t>
  </si>
  <si>
    <t>Renovation Upside</t>
  </si>
  <si>
    <t>$250 per unit</t>
  </si>
  <si>
    <t>PP</t>
  </si>
  <si>
    <t>Repairs</t>
  </si>
  <si>
    <t>Total Costs</t>
  </si>
  <si>
    <t>LTC</t>
  </si>
  <si>
    <t>Equity Required</t>
  </si>
  <si>
    <t>Grahamwood Square</t>
  </si>
  <si>
    <t>Pinebrooke Pointe</t>
  </si>
  <si>
    <t>Payroll Breakdown</t>
  </si>
  <si>
    <t>Position</t>
  </si>
  <si>
    <t>Salary</t>
  </si>
  <si>
    <t>Property</t>
  </si>
  <si>
    <t>Grahamwood</t>
  </si>
  <si>
    <t>Property Manager</t>
  </si>
  <si>
    <t>Assistant Manager</t>
  </si>
  <si>
    <t>Leasing Consultant</t>
  </si>
  <si>
    <t>Maint. Supervisor</t>
  </si>
  <si>
    <t>Maint. Tech</t>
  </si>
  <si>
    <t>Groundskeeper</t>
  </si>
  <si>
    <t>Pinebrook</t>
  </si>
  <si>
    <t>All</t>
  </si>
  <si>
    <t>Payroll Taxes, etc.</t>
  </si>
  <si>
    <t>Loan Proceeds</t>
  </si>
  <si>
    <t>1. May17 T12 (Pine) + Jun17 T12 (Graham)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</si>
</sst>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8" formatCode="&quot;$&quot;#,##0.00_);[Red]\(&quot;$&quot;#,##0.00\)"/>
    <numFmt numFmtId="44" formatCode="_(&quot;$&quot;* #,##0.00_);_(&quot;$&quot;* \(#,##0.00\);_(&quot;$&quot;* &quot;-&quot;??_);_(@_)"/>
    <numFmt numFmtId="164" formatCode="&quot;$&quot;#,##0"/>
    <numFmt numFmtId="165" formatCode="0.0%"/>
    <numFmt numFmtId="166" formatCode="_(&quot;$&quot;* #,##0.0_);_(&quot;$&quot;* \(#,##0.0\);_(&quot;$&quot;* &quot;-&quot;??_);_(@_)"/>
    <numFmt numFmtId="167" formatCode="_(&quot;$&quot;* #,##0_);_(&quot;$&quot;* \(#,##0\);_(&quot;$&quot;* &quot;-&quot;??_);_(@_)"/>
    <numFmt numFmtId="168" formatCode="0.0"/>
    <numFmt numFmtId="169" formatCode="_(&quot;$&quot;\ #,##0_);_(&quot;$&quot;\ \(#,##0\);_(&quot;$&quot;\ &quot;-&quot;??_);_(@_)"/>
    <numFmt numFmtId="170" formatCode="&quot;$&quot;#,##0;[Red]\-&quot;$&quot;#,##0"/>
    <numFmt numFmtId="171" formatCode="&quot;$&quot;#,##0.00"/>
    <numFmt numFmtId="172" formatCode="&quot;$&quot;#,##0.0000"/>
  </numFmts>
  <fonts count="70" x14ac:knownFonts="1">
    <font>
      <sz val="10"/>
      <name val="Arial"/>
    </font>
    <font>
      <sz val="10"/>
      <name val="Arial"/>
      <family val="2"/>
    </font>
    <font>
      <sz val="8"/>
      <color indexed="81"/>
      <name val="Tahoma"/>
      <family val="2"/>
    </font>
    <font>
      <b/>
      <sz val="8"/>
      <color indexed="81"/>
      <name val="Tahoma"/>
      <family val="2"/>
    </font>
    <font>
      <sz val="10"/>
      <name val="Arial"/>
      <family val="2"/>
    </font>
    <font>
      <u/>
      <sz val="10"/>
      <color indexed="12"/>
      <name val="Verdana"/>
      <family val="2"/>
    </font>
    <font>
      <sz val="10"/>
      <name val="Tahoma"/>
      <family val="2"/>
    </font>
    <font>
      <sz val="8"/>
      <name val="Arial"/>
      <family val="2"/>
    </font>
    <font>
      <b/>
      <sz val="8"/>
      <name val="Arial"/>
      <family val="2"/>
    </font>
    <font>
      <sz val="8"/>
      <color indexed="12"/>
      <name val="Arial"/>
      <family val="2"/>
    </font>
    <font>
      <sz val="8"/>
      <color indexed="23"/>
      <name val="Arial"/>
      <family val="2"/>
    </font>
    <font>
      <b/>
      <sz val="8"/>
      <color indexed="23"/>
      <name val="Arial"/>
      <family val="2"/>
    </font>
    <font>
      <b/>
      <sz val="9"/>
      <name val="Arial"/>
      <family val="2"/>
    </font>
    <font>
      <sz val="9"/>
      <name val="Arial"/>
      <family val="2"/>
    </font>
    <font>
      <sz val="9"/>
      <color indexed="12"/>
      <name val="Arial"/>
      <family val="2"/>
    </font>
    <font>
      <b/>
      <sz val="9"/>
      <color indexed="9"/>
      <name val="Arial"/>
      <family val="2"/>
    </font>
    <font>
      <sz val="9"/>
      <color indexed="9"/>
      <name val="Arial"/>
      <family val="2"/>
    </font>
    <font>
      <u/>
      <sz val="9"/>
      <name val="Arial"/>
      <family val="2"/>
    </font>
    <font>
      <sz val="9"/>
      <name val="Arial"/>
      <family val="2"/>
    </font>
    <font>
      <sz val="8"/>
      <name val="Arial"/>
      <family val="2"/>
    </font>
    <font>
      <b/>
      <sz val="8"/>
      <name val="Arial"/>
      <family val="2"/>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2"/>
      <name val="Arial"/>
      <family val="2"/>
    </font>
    <font>
      <b/>
      <sz val="10"/>
      <name val="Arial"/>
      <family val="2"/>
    </font>
    <font>
      <b/>
      <sz val="12"/>
      <color indexed="9"/>
      <name val="Arial"/>
      <family val="2"/>
    </font>
    <font>
      <u/>
      <sz val="10"/>
      <color indexed="12"/>
      <name val="Arial"/>
      <family val="2"/>
    </font>
    <font>
      <b/>
      <u/>
      <sz val="10"/>
      <name val="Arial"/>
      <family val="2"/>
    </font>
    <font>
      <sz val="9"/>
      <color indexed="81"/>
      <name val="Tahoma"/>
      <family val="2"/>
    </font>
    <font>
      <b/>
      <sz val="9"/>
      <color indexed="81"/>
      <name val="Tahoma"/>
      <family val="2"/>
    </font>
    <font>
      <b/>
      <sz val="10"/>
      <color indexed="9"/>
      <name val="Arial"/>
      <family val="2"/>
    </font>
    <font>
      <b/>
      <sz val="9"/>
      <color indexed="12"/>
      <name val="Arial"/>
      <family val="2"/>
    </font>
    <font>
      <b/>
      <u/>
      <sz val="8"/>
      <name val="Arial"/>
      <family val="2"/>
    </font>
    <font>
      <b/>
      <sz val="12"/>
      <name val="Arial"/>
      <family val="2"/>
    </font>
    <font>
      <sz val="8"/>
      <color indexed="23"/>
      <name val="Arial"/>
      <family val="2"/>
    </font>
    <font>
      <b/>
      <sz val="12"/>
      <color indexed="9"/>
      <name val="Arial"/>
      <family val="2"/>
    </font>
    <font>
      <b/>
      <sz val="9"/>
      <name val="Arial"/>
      <family val="2"/>
    </font>
    <font>
      <sz val="9"/>
      <color indexed="12"/>
      <name val="Arial"/>
      <family val="2"/>
    </font>
    <font>
      <b/>
      <sz val="10"/>
      <name val="Arial"/>
      <family val="2"/>
    </font>
    <font>
      <b/>
      <sz val="8"/>
      <color indexed="12"/>
      <name val="Arial"/>
      <family val="2"/>
    </font>
    <font>
      <b/>
      <i/>
      <sz val="9"/>
      <name val="Arial"/>
      <family val="2"/>
    </font>
    <font>
      <b/>
      <i/>
      <sz val="9"/>
      <name val="Arial"/>
      <family val="2"/>
    </font>
    <font>
      <b/>
      <i/>
      <sz val="9"/>
      <color indexed="8"/>
      <name val="Arial"/>
      <family val="2"/>
    </font>
    <font>
      <b/>
      <i/>
      <sz val="9"/>
      <color indexed="12"/>
      <name val="Arial"/>
      <family val="2"/>
    </font>
    <font>
      <b/>
      <sz val="9"/>
      <color indexed="8"/>
      <name val="Arial"/>
      <family val="2"/>
    </font>
    <font>
      <sz val="9"/>
      <color indexed="8"/>
      <name val="Arial"/>
      <family val="2"/>
    </font>
    <font>
      <sz val="9"/>
      <color indexed="30"/>
      <name val="Arial"/>
      <family val="2"/>
    </font>
    <font>
      <sz val="8"/>
      <name val="Arial"/>
      <family val="2"/>
    </font>
    <font>
      <b/>
      <sz val="8"/>
      <color indexed="9"/>
      <name val="Arial"/>
      <family val="2"/>
    </font>
    <font>
      <b/>
      <sz val="8"/>
      <name val="Arial"/>
      <family val="2"/>
    </font>
    <font>
      <i/>
      <sz val="8"/>
      <name val="Arial"/>
      <family val="2"/>
    </font>
    <font>
      <sz val="8"/>
      <color indexed="12"/>
      <name val="Arial"/>
      <family val="2"/>
    </font>
    <font>
      <b/>
      <sz val="10"/>
      <name val="Calibri"/>
      <family val="2"/>
      <scheme val="minor"/>
    </font>
    <font>
      <sz val="10"/>
      <name val="Calibri"/>
      <family val="2"/>
      <scheme val="minor"/>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48"/>
        <bgColor indexed="64"/>
      </patternFill>
    </fill>
    <fill>
      <patternFill patternType="solid">
        <fgColor indexed="23"/>
        <bgColor indexed="64"/>
      </patternFill>
    </fill>
    <fill>
      <patternFill patternType="solid">
        <fgColor indexed="9"/>
        <bgColor indexed="9"/>
      </patternFill>
    </fill>
    <fill>
      <patternFill patternType="solid">
        <fgColor indexed="9"/>
        <bgColor indexed="62"/>
      </patternFill>
    </fill>
    <fill>
      <patternFill patternType="solid">
        <fgColor indexed="47"/>
        <bgColor indexed="64"/>
      </patternFill>
    </fill>
    <fill>
      <patternFill patternType="solid">
        <fgColor indexed="46"/>
        <bgColor indexed="64"/>
      </patternFill>
    </fill>
    <fill>
      <patternFill patternType="solid">
        <fgColor indexed="22"/>
        <bgColor indexed="9"/>
      </patternFill>
    </fill>
    <fill>
      <patternFill patternType="solid">
        <fgColor indexed="22"/>
        <bgColor indexed="47"/>
      </patternFill>
    </fill>
    <fill>
      <patternFill patternType="solid">
        <fgColor indexed="63"/>
        <bgColor indexed="64"/>
      </patternFill>
    </fill>
    <fill>
      <patternFill patternType="solid">
        <fgColor indexed="41"/>
        <bgColor indexed="64"/>
      </patternFill>
    </fill>
    <fill>
      <patternFill patternType="solid">
        <fgColor theme="2"/>
        <bgColor indexed="64"/>
      </patternFill>
    </fill>
    <fill>
      <patternFill patternType="solid">
        <fgColor theme="9" tint="0.79998168889431442"/>
        <bgColor indexed="64"/>
      </patternFill>
    </fill>
    <fill>
      <patternFill patternType="solid">
        <fgColor theme="0"/>
        <bgColor indexed="64"/>
      </patternFill>
    </fill>
    <fill>
      <patternFill patternType="solid">
        <fgColor theme="2"/>
        <bgColor indexed="9"/>
      </patternFill>
    </fill>
    <fill>
      <patternFill patternType="solid">
        <fgColor rgb="FFFFFF00"/>
        <bgColor indexed="64"/>
      </patternFill>
    </fill>
    <fill>
      <patternFill patternType="solid">
        <fgColor rgb="FF00B0F0"/>
        <bgColor indexed="64"/>
      </patternFill>
    </fill>
    <fill>
      <patternFill patternType="solid">
        <fgColor theme="0" tint="-0.14999847407452621"/>
        <bgColor indexed="9"/>
      </patternFill>
    </fill>
    <fill>
      <patternFill patternType="solid">
        <fgColor theme="0" tint="-0.14999847407452621"/>
        <bgColor indexed="64"/>
      </patternFill>
    </fill>
    <fill>
      <patternFill patternType="solid">
        <fgColor rgb="FFFFFF00"/>
        <bgColor indexed="9"/>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style="double">
        <color auto="1"/>
      </bottom>
      <diagonal/>
    </border>
    <border>
      <left style="medium">
        <color auto="1"/>
      </left>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style="medium">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8"/>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double">
        <color auto="1"/>
      </bottom>
      <diagonal/>
    </border>
  </borders>
  <cellStyleXfs count="46">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4" fontId="1"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5" fillId="0" borderId="0" applyNumberFormat="0" applyFill="0" applyBorder="0" applyAlignment="0" applyProtection="0">
      <alignment vertical="top"/>
      <protection locked="0"/>
    </xf>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6" fillId="0" borderId="0"/>
    <xf numFmtId="0" fontId="1" fillId="23" borderId="7" applyNumberFormat="0" applyFont="0" applyAlignment="0" applyProtection="0"/>
    <xf numFmtId="0" fontId="35" fillId="20"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004">
    <xf numFmtId="0" fontId="0" fillId="0" borderId="0" xfId="0"/>
    <xf numFmtId="0" fontId="7" fillId="24" borderId="0" xfId="0" applyFont="1" applyFill="1"/>
    <xf numFmtId="0" fontId="8" fillId="24" borderId="10" xfId="0" applyFont="1" applyFill="1" applyBorder="1" applyAlignment="1">
      <alignment horizontal="center"/>
    </xf>
    <xf numFmtId="0" fontId="7" fillId="24" borderId="10" xfId="0" applyFont="1" applyFill="1" applyBorder="1"/>
    <xf numFmtId="0" fontId="7" fillId="24" borderId="11" xfId="0" applyFont="1" applyFill="1" applyBorder="1" applyAlignment="1">
      <alignment horizontal="left" indent="1"/>
    </xf>
    <xf numFmtId="0" fontId="7" fillId="24" borderId="0" xfId="0" applyFont="1" applyFill="1" applyBorder="1"/>
    <xf numFmtId="10" fontId="9" fillId="24" borderId="0" xfId="0" applyNumberFormat="1" applyFont="1" applyFill="1" applyBorder="1" applyAlignment="1">
      <alignment horizontal="center"/>
    </xf>
    <xf numFmtId="0" fontId="7" fillId="24" borderId="12" xfId="0" applyFont="1" applyFill="1" applyBorder="1"/>
    <xf numFmtId="10" fontId="9" fillId="24" borderId="0" xfId="0" applyNumberFormat="1" applyFont="1" applyFill="1" applyAlignment="1">
      <alignment horizontal="center"/>
    </xf>
    <xf numFmtId="0" fontId="7" fillId="24" borderId="13" xfId="0" applyFont="1" applyFill="1" applyBorder="1" applyAlignment="1">
      <alignment horizontal="left" indent="1"/>
    </xf>
    <xf numFmtId="0" fontId="7" fillId="24" borderId="14" xfId="0" applyFont="1" applyFill="1" applyBorder="1"/>
    <xf numFmtId="10" fontId="9" fillId="24" borderId="14" xfId="0" applyNumberFormat="1" applyFont="1" applyFill="1" applyBorder="1" applyAlignment="1">
      <alignment horizontal="center"/>
    </xf>
    <xf numFmtId="0" fontId="7" fillId="24" borderId="15" xfId="0" applyFont="1" applyFill="1" applyBorder="1"/>
    <xf numFmtId="0" fontId="8" fillId="24" borderId="11" xfId="0" applyFont="1" applyFill="1" applyBorder="1" applyAlignment="1">
      <alignment vertical="top"/>
    </xf>
    <xf numFmtId="0" fontId="8" fillId="24" borderId="0" xfId="0" applyFont="1" applyFill="1" applyBorder="1" applyAlignment="1">
      <alignment vertical="top"/>
    </xf>
    <xf numFmtId="164" fontId="8" fillId="24" borderId="0" xfId="0" applyNumberFormat="1" applyFont="1" applyFill="1" applyBorder="1" applyAlignment="1">
      <alignment horizontal="center" vertical="top"/>
    </xf>
    <xf numFmtId="164" fontId="7" fillId="24" borderId="0" xfId="0" applyNumberFormat="1" applyFont="1" applyFill="1" applyBorder="1" applyAlignment="1">
      <alignment horizontal="center" vertical="top"/>
    </xf>
    <xf numFmtId="0" fontId="7" fillId="24" borderId="11" xfId="0" applyFont="1" applyFill="1" applyBorder="1" applyAlignment="1">
      <alignment horizontal="left" vertical="top" indent="1"/>
    </xf>
    <xf numFmtId="0" fontId="7" fillId="24" borderId="0" xfId="0" applyFont="1" applyFill="1" applyBorder="1" applyAlignment="1">
      <alignment vertical="top"/>
    </xf>
    <xf numFmtId="164" fontId="9" fillId="24" borderId="0" xfId="0" applyNumberFormat="1" applyFont="1" applyFill="1" applyBorder="1" applyAlignment="1">
      <alignment horizontal="center" vertical="top"/>
    </xf>
    <xf numFmtId="0" fontId="7" fillId="24" borderId="11" xfId="0" quotePrefix="1" applyFont="1" applyFill="1" applyBorder="1" applyAlignment="1">
      <alignment horizontal="left" vertical="top" indent="1"/>
    </xf>
    <xf numFmtId="0" fontId="7" fillId="24" borderId="0" xfId="0" quotePrefix="1" applyFont="1" applyFill="1" applyBorder="1" applyAlignment="1">
      <alignment vertical="top"/>
    </xf>
    <xf numFmtId="6" fontId="9" fillId="24" borderId="0" xfId="0" applyNumberFormat="1" applyFont="1" applyFill="1" applyBorder="1" applyAlignment="1">
      <alignment horizontal="center" vertical="top"/>
    </xf>
    <xf numFmtId="0" fontId="7" fillId="24" borderId="16" xfId="0" applyFont="1" applyFill="1" applyBorder="1" applyAlignment="1">
      <alignment horizontal="left" vertical="top" indent="1"/>
    </xf>
    <xf numFmtId="0" fontId="7" fillId="24" borderId="10" xfId="0" applyFont="1" applyFill="1" applyBorder="1" applyAlignment="1">
      <alignment vertical="top"/>
    </xf>
    <xf numFmtId="164" fontId="7" fillId="24" borderId="10" xfId="0" applyNumberFormat="1" applyFont="1" applyFill="1" applyBorder="1" applyAlignment="1">
      <alignment horizontal="center" vertical="top"/>
    </xf>
    <xf numFmtId="0" fontId="8" fillId="24" borderId="17" xfId="0" applyFont="1" applyFill="1" applyBorder="1" applyAlignment="1">
      <alignment vertical="top"/>
    </xf>
    <xf numFmtId="0" fontId="8" fillId="24" borderId="18" xfId="0" applyFont="1" applyFill="1" applyBorder="1" applyAlignment="1">
      <alignment vertical="top"/>
    </xf>
    <xf numFmtId="164" fontId="8" fillId="24" borderId="18" xfId="0" applyNumberFormat="1" applyFont="1" applyFill="1" applyBorder="1" applyAlignment="1">
      <alignment horizontal="center" vertical="top"/>
    </xf>
    <xf numFmtId="10" fontId="9" fillId="24" borderId="0" xfId="0" applyNumberFormat="1" applyFont="1" applyFill="1" applyBorder="1" applyAlignment="1">
      <alignment horizontal="center" vertical="top"/>
    </xf>
    <xf numFmtId="0" fontId="8" fillId="25" borderId="19" xfId="0" applyFont="1" applyFill="1" applyBorder="1" applyAlignment="1">
      <alignment vertical="top"/>
    </xf>
    <xf numFmtId="0" fontId="8" fillId="25" borderId="20" xfId="0" applyFont="1" applyFill="1" applyBorder="1" applyAlignment="1">
      <alignment vertical="top"/>
    </xf>
    <xf numFmtId="164" fontId="8" fillId="25" borderId="20" xfId="0" applyNumberFormat="1" applyFont="1" applyFill="1" applyBorder="1" applyAlignment="1">
      <alignment horizontal="center" vertical="top"/>
    </xf>
    <xf numFmtId="0" fontId="7" fillId="24" borderId="0" xfId="0" applyNumberFormat="1" applyFont="1" applyFill="1" applyBorder="1" applyAlignment="1">
      <alignment horizontal="center" vertical="top"/>
    </xf>
    <xf numFmtId="164" fontId="7" fillId="24" borderId="0" xfId="0" applyNumberFormat="1" applyFont="1" applyFill="1" applyBorder="1" applyAlignment="1">
      <alignment horizontal="center"/>
    </xf>
    <xf numFmtId="9" fontId="9" fillId="24" borderId="0" xfId="0" applyNumberFormat="1" applyFont="1" applyFill="1" applyBorder="1" applyAlignment="1">
      <alignment horizontal="center" vertical="top"/>
    </xf>
    <xf numFmtId="9" fontId="7" fillId="24" borderId="0" xfId="0" applyNumberFormat="1" applyFont="1" applyFill="1" applyBorder="1" applyAlignment="1">
      <alignment horizontal="center" vertical="top"/>
    </xf>
    <xf numFmtId="0" fontId="7" fillId="24" borderId="21" xfId="0" applyFont="1" applyFill="1" applyBorder="1" applyAlignment="1">
      <alignment vertical="top"/>
    </xf>
    <xf numFmtId="0" fontId="7" fillId="24" borderId="22" xfId="0" applyFont="1" applyFill="1" applyBorder="1" applyAlignment="1">
      <alignment vertical="top"/>
    </xf>
    <xf numFmtId="164" fontId="7" fillId="24" borderId="22" xfId="0" applyNumberFormat="1" applyFont="1" applyFill="1" applyBorder="1" applyAlignment="1">
      <alignment horizontal="center"/>
    </xf>
    <xf numFmtId="9" fontId="9" fillId="24" borderId="22" xfId="0" applyNumberFormat="1" applyFont="1" applyFill="1" applyBorder="1" applyAlignment="1">
      <alignment horizontal="center" vertical="top"/>
    </xf>
    <xf numFmtId="9" fontId="7" fillId="24" borderId="22" xfId="0" applyNumberFormat="1" applyFont="1" applyFill="1" applyBorder="1" applyAlignment="1">
      <alignment horizontal="center" vertical="top"/>
    </xf>
    <xf numFmtId="0" fontId="7" fillId="24" borderId="11" xfId="0" applyFont="1" applyFill="1" applyBorder="1" applyAlignment="1">
      <alignment vertical="top"/>
    </xf>
    <xf numFmtId="0" fontId="7" fillId="24" borderId="11" xfId="0" quotePrefix="1" applyFont="1" applyFill="1" applyBorder="1" applyAlignment="1">
      <alignment vertical="top" wrapText="1"/>
    </xf>
    <xf numFmtId="9" fontId="7" fillId="24" borderId="0" xfId="0" quotePrefix="1" applyNumberFormat="1" applyFont="1" applyFill="1" applyBorder="1" applyAlignment="1">
      <alignment horizontal="center" vertical="top" wrapText="1"/>
    </xf>
    <xf numFmtId="0" fontId="7" fillId="24" borderId="11" xfId="0" quotePrefix="1" applyFont="1" applyFill="1" applyBorder="1"/>
    <xf numFmtId="0" fontId="8" fillId="25" borderId="19" xfId="0" applyFont="1" applyFill="1" applyBorder="1"/>
    <xf numFmtId="0" fontId="8" fillId="25" borderId="20" xfId="0" applyFont="1" applyFill="1" applyBorder="1"/>
    <xf numFmtId="164" fontId="8" fillId="25" borderId="20" xfId="0" applyNumberFormat="1" applyFont="1" applyFill="1" applyBorder="1" applyAlignment="1">
      <alignment horizontal="center"/>
    </xf>
    <xf numFmtId="0" fontId="7" fillId="25" borderId="20" xfId="0" applyFont="1" applyFill="1" applyBorder="1"/>
    <xf numFmtId="0" fontId="7" fillId="24" borderId="11" xfId="0" applyFont="1" applyFill="1" applyBorder="1"/>
    <xf numFmtId="0" fontId="8" fillId="24" borderId="11" xfId="0" applyFont="1" applyFill="1" applyBorder="1"/>
    <xf numFmtId="164" fontId="8" fillId="24" borderId="0" xfId="0" applyNumberFormat="1" applyFont="1" applyFill="1" applyBorder="1" applyAlignment="1">
      <alignment horizontal="center"/>
    </xf>
    <xf numFmtId="10" fontId="10" fillId="24" borderId="0" xfId="0" applyNumberFormat="1" applyFont="1" applyFill="1" applyBorder="1" applyAlignment="1">
      <alignment horizontal="center" vertical="top"/>
    </xf>
    <xf numFmtId="10" fontId="11" fillId="24" borderId="18" xfId="0" applyNumberFormat="1" applyFont="1" applyFill="1" applyBorder="1" applyAlignment="1">
      <alignment horizontal="center" vertical="top"/>
    </xf>
    <xf numFmtId="164" fontId="10" fillId="24" borderId="10" xfId="0" applyNumberFormat="1" applyFont="1" applyFill="1" applyBorder="1" applyAlignment="1">
      <alignment horizontal="center" vertical="top"/>
    </xf>
    <xf numFmtId="0" fontId="8" fillId="25" borderId="23" xfId="0" applyFont="1" applyFill="1" applyBorder="1"/>
    <xf numFmtId="0" fontId="8" fillId="25" borderId="24" xfId="0" applyFont="1" applyFill="1" applyBorder="1"/>
    <xf numFmtId="0" fontId="8" fillId="25" borderId="24" xfId="0" applyFont="1" applyFill="1" applyBorder="1" applyAlignment="1">
      <alignment horizontal="center"/>
    </xf>
    <xf numFmtId="0" fontId="7" fillId="25" borderId="24" xfId="0" applyFont="1" applyFill="1" applyBorder="1"/>
    <xf numFmtId="0" fontId="7" fillId="25" borderId="25" xfId="0" applyFont="1" applyFill="1" applyBorder="1"/>
    <xf numFmtId="0" fontId="8" fillId="25" borderId="23" xfId="0" applyFont="1" applyFill="1" applyBorder="1" applyAlignment="1">
      <alignment vertical="top"/>
    </xf>
    <xf numFmtId="0" fontId="8" fillId="25" borderId="21" xfId="0" applyFont="1" applyFill="1" applyBorder="1" applyAlignment="1">
      <alignment vertical="top"/>
    </xf>
    <xf numFmtId="0" fontId="8" fillId="25" borderId="22" xfId="0" applyFont="1" applyFill="1" applyBorder="1" applyAlignment="1">
      <alignment vertical="top"/>
    </xf>
    <xf numFmtId="164" fontId="8" fillId="25" borderId="22" xfId="0" applyNumberFormat="1" applyFont="1" applyFill="1" applyBorder="1" applyAlignment="1">
      <alignment horizontal="center" vertical="top"/>
    </xf>
    <xf numFmtId="0" fontId="13" fillId="24" borderId="11" xfId="0" applyFont="1" applyFill="1" applyBorder="1" applyAlignment="1">
      <alignment horizontal="left" indent="1"/>
    </xf>
    <xf numFmtId="0" fontId="13" fillId="24" borderId="11" xfId="0" applyFont="1" applyFill="1" applyBorder="1" applyAlignment="1">
      <alignment horizontal="left" vertical="top" indent="1"/>
    </xf>
    <xf numFmtId="164" fontId="13" fillId="24" borderId="12" xfId="0" applyNumberFormat="1" applyFont="1" applyFill="1" applyBorder="1" applyAlignment="1">
      <alignment horizontal="left" vertical="top" indent="1"/>
    </xf>
    <xf numFmtId="0" fontId="12" fillId="24" borderId="11" xfId="0" applyFont="1" applyFill="1" applyBorder="1" applyAlignment="1">
      <alignment horizontal="left" vertical="top" indent="1"/>
    </xf>
    <xf numFmtId="164" fontId="14" fillId="24" borderId="12" xfId="0" applyNumberFormat="1" applyFont="1" applyFill="1" applyBorder="1" applyAlignment="1">
      <alignment horizontal="left" vertical="top" indent="1"/>
    </xf>
    <xf numFmtId="164" fontId="12" fillId="24" borderId="15" xfId="0" applyNumberFormat="1" applyFont="1" applyFill="1" applyBorder="1" applyAlignment="1">
      <alignment horizontal="left" vertical="top" indent="1"/>
    </xf>
    <xf numFmtId="0" fontId="13" fillId="24" borderId="0" xfId="0" applyFont="1" applyFill="1"/>
    <xf numFmtId="0" fontId="13" fillId="24" borderId="26" xfId="0" applyFont="1" applyFill="1" applyBorder="1" applyAlignment="1">
      <alignment horizontal="left" indent="1"/>
    </xf>
    <xf numFmtId="0" fontId="13" fillId="24" borderId="27" xfId="0" applyFont="1" applyFill="1" applyBorder="1" applyAlignment="1">
      <alignment horizontal="center"/>
    </xf>
    <xf numFmtId="164" fontId="13" fillId="24" borderId="28" xfId="0" applyNumberFormat="1" applyFont="1" applyFill="1" applyBorder="1" applyAlignment="1">
      <alignment horizontal="center"/>
    </xf>
    <xf numFmtId="0" fontId="13" fillId="24" borderId="0" xfId="0" applyFont="1" applyFill="1" applyBorder="1" applyAlignment="1">
      <alignment horizontal="center"/>
    </xf>
    <xf numFmtId="6" fontId="13" fillId="24" borderId="12" xfId="0" applyNumberFormat="1" applyFont="1" applyFill="1" applyBorder="1" applyAlignment="1">
      <alignment horizontal="center"/>
    </xf>
    <xf numFmtId="6" fontId="13" fillId="24" borderId="29" xfId="0" applyNumberFormat="1" applyFont="1" applyFill="1" applyBorder="1" applyAlignment="1">
      <alignment horizontal="center"/>
    </xf>
    <xf numFmtId="9" fontId="13" fillId="24" borderId="0" xfId="0" applyNumberFormat="1" applyFont="1" applyFill="1" applyBorder="1" applyAlignment="1">
      <alignment horizontal="center"/>
    </xf>
    <xf numFmtId="0" fontId="13" fillId="24" borderId="17" xfId="0" applyFont="1" applyFill="1" applyBorder="1" applyAlignment="1">
      <alignment horizontal="left" indent="1"/>
    </xf>
    <xf numFmtId="9" fontId="13" fillId="24" borderId="18" xfId="0" applyNumberFormat="1" applyFont="1" applyFill="1" applyBorder="1" applyAlignment="1">
      <alignment horizontal="center"/>
    </xf>
    <xf numFmtId="6" fontId="13" fillId="24" borderId="30" xfId="0" applyNumberFormat="1" applyFont="1" applyFill="1" applyBorder="1" applyAlignment="1">
      <alignment horizontal="center"/>
    </xf>
    <xf numFmtId="0" fontId="13" fillId="24" borderId="31" xfId="0" applyFont="1" applyFill="1" applyBorder="1" applyAlignment="1">
      <alignment horizontal="left" indent="1"/>
    </xf>
    <xf numFmtId="0" fontId="12" fillId="24" borderId="23" xfId="0" applyFont="1" applyFill="1" applyBorder="1" applyAlignment="1">
      <alignment horizontal="center" vertical="top" wrapText="1"/>
    </xf>
    <xf numFmtId="0" fontId="12" fillId="24" borderId="24" xfId="0" applyFont="1" applyFill="1" applyBorder="1" applyAlignment="1">
      <alignment horizontal="center" vertical="top" wrapText="1"/>
    </xf>
    <xf numFmtId="0" fontId="12" fillId="24" borderId="25" xfId="0" applyFont="1" applyFill="1" applyBorder="1" applyAlignment="1">
      <alignment horizontal="center" vertical="top" wrapText="1"/>
    </xf>
    <xf numFmtId="0" fontId="13" fillId="24" borderId="11" xfId="0" applyFont="1" applyFill="1" applyBorder="1" applyAlignment="1">
      <alignment horizontal="center" vertical="top" wrapText="1"/>
    </xf>
    <xf numFmtId="6" fontId="13" fillId="24" borderId="0" xfId="0" applyNumberFormat="1" applyFont="1" applyFill="1" applyBorder="1" applyAlignment="1">
      <alignment horizontal="center" vertical="top" wrapText="1"/>
    </xf>
    <xf numFmtId="6" fontId="13" fillId="24" borderId="12" xfId="0" applyNumberFormat="1" applyFont="1" applyFill="1" applyBorder="1" applyAlignment="1">
      <alignment horizontal="center" vertical="top" wrapText="1"/>
    </xf>
    <xf numFmtId="10" fontId="13" fillId="24" borderId="0" xfId="0" applyNumberFormat="1" applyFont="1" applyFill="1" applyBorder="1" applyAlignment="1">
      <alignment horizontal="center"/>
    </xf>
    <xf numFmtId="10" fontId="13" fillId="24" borderId="12" xfId="0" applyNumberFormat="1" applyFont="1" applyFill="1" applyBorder="1" applyAlignment="1">
      <alignment horizontal="center"/>
    </xf>
    <xf numFmtId="0" fontId="13" fillId="0" borderId="0" xfId="0" applyFont="1"/>
    <xf numFmtId="10" fontId="7" fillId="24" borderId="0" xfId="0" applyNumberFormat="1" applyFont="1" applyFill="1" applyBorder="1" applyAlignment="1">
      <alignment horizontal="center"/>
    </xf>
    <xf numFmtId="10" fontId="7" fillId="24" borderId="14" xfId="0" applyNumberFormat="1" applyFont="1" applyFill="1" applyBorder="1" applyAlignment="1">
      <alignment horizontal="center"/>
    </xf>
    <xf numFmtId="167" fontId="7" fillId="24" borderId="0" xfId="28" applyNumberFormat="1" applyFont="1" applyFill="1" applyBorder="1"/>
    <xf numFmtId="10" fontId="7" fillId="24" borderId="0" xfId="0" applyNumberFormat="1" applyFont="1" applyFill="1" applyBorder="1" applyAlignment="1">
      <alignment horizontal="center" vertical="top"/>
    </xf>
    <xf numFmtId="0" fontId="17" fillId="24" borderId="11" xfId="0" applyFont="1" applyFill="1" applyBorder="1" applyAlignment="1">
      <alignment horizontal="left" vertical="top" indent="1"/>
    </xf>
    <xf numFmtId="0" fontId="13" fillId="24" borderId="11" xfId="0" applyFont="1" applyFill="1" applyBorder="1" applyAlignment="1">
      <alignment horizontal="left" vertical="top" indent="2"/>
    </xf>
    <xf numFmtId="164" fontId="14" fillId="24" borderId="29" xfId="0" applyNumberFormat="1" applyFont="1" applyFill="1" applyBorder="1" applyAlignment="1">
      <alignment horizontal="left" vertical="top" indent="1"/>
    </xf>
    <xf numFmtId="0" fontId="19" fillId="0" borderId="0" xfId="0" applyFont="1"/>
    <xf numFmtId="164" fontId="19" fillId="0" borderId="0" xfId="0" applyNumberFormat="1" applyFont="1" applyAlignment="1">
      <alignment horizontal="left"/>
    </xf>
    <xf numFmtId="0" fontId="20" fillId="24" borderId="26" xfId="0" applyFont="1" applyFill="1" applyBorder="1" applyAlignment="1">
      <alignment horizontal="left" indent="1"/>
    </xf>
    <xf numFmtId="164" fontId="19" fillId="24" borderId="27" xfId="0" applyNumberFormat="1" applyFont="1" applyFill="1" applyBorder="1" applyAlignment="1">
      <alignment horizontal="left"/>
    </xf>
    <xf numFmtId="0" fontId="19" fillId="24" borderId="28" xfId="0" applyFont="1" applyFill="1" applyBorder="1"/>
    <xf numFmtId="0" fontId="19" fillId="24" borderId="11" xfId="0" applyFont="1" applyFill="1" applyBorder="1" applyAlignment="1">
      <alignment horizontal="left" indent="1"/>
    </xf>
    <xf numFmtId="3" fontId="21" fillId="24" borderId="0" xfId="0" applyNumberFormat="1" applyFont="1" applyFill="1" applyBorder="1" applyAlignment="1">
      <alignment horizontal="left"/>
    </xf>
    <xf numFmtId="0" fontId="19" fillId="24" borderId="12" xfId="0" applyFont="1" applyFill="1" applyBorder="1"/>
    <xf numFmtId="164" fontId="21" fillId="24" borderId="0" xfId="0" applyNumberFormat="1" applyFont="1" applyFill="1" applyBorder="1" applyAlignment="1">
      <alignment horizontal="left"/>
    </xf>
    <xf numFmtId="0" fontId="19" fillId="24" borderId="11" xfId="0" applyFont="1" applyFill="1" applyBorder="1" applyAlignment="1">
      <alignment horizontal="left" indent="2"/>
    </xf>
    <xf numFmtId="164" fontId="19" fillId="24" borderId="0" xfId="0" applyNumberFormat="1" applyFont="1" applyFill="1" applyBorder="1" applyAlignment="1">
      <alignment horizontal="left"/>
    </xf>
    <xf numFmtId="9" fontId="21" fillId="24" borderId="12" xfId="0" applyNumberFormat="1" applyFont="1" applyFill="1" applyBorder="1" applyAlignment="1">
      <alignment horizontal="center"/>
    </xf>
    <xf numFmtId="10" fontId="21" fillId="24" borderId="0" xfId="0" applyNumberFormat="1" applyFont="1" applyFill="1" applyBorder="1" applyAlignment="1">
      <alignment horizontal="left"/>
    </xf>
    <xf numFmtId="165" fontId="19" fillId="24" borderId="12" xfId="0" applyNumberFormat="1" applyFont="1" applyFill="1" applyBorder="1" applyAlignment="1">
      <alignment horizontal="center"/>
    </xf>
    <xf numFmtId="165" fontId="21" fillId="24" borderId="12" xfId="0" applyNumberFormat="1" applyFont="1" applyFill="1" applyBorder="1" applyAlignment="1">
      <alignment horizontal="center"/>
    </xf>
    <xf numFmtId="0" fontId="19" fillId="24" borderId="11" xfId="0" quotePrefix="1" applyFont="1" applyFill="1" applyBorder="1" applyAlignment="1">
      <alignment horizontal="left" indent="1"/>
    </xf>
    <xf numFmtId="0" fontId="19" fillId="24" borderId="13" xfId="0" applyFont="1" applyFill="1" applyBorder="1" applyAlignment="1">
      <alignment horizontal="left" indent="1"/>
    </xf>
    <xf numFmtId="164" fontId="19" fillId="24" borderId="14" xfId="0" applyNumberFormat="1" applyFont="1" applyFill="1" applyBorder="1" applyAlignment="1">
      <alignment horizontal="left"/>
    </xf>
    <xf numFmtId="4" fontId="19" fillId="24" borderId="0" xfId="0" applyNumberFormat="1" applyFont="1" applyFill="1" applyBorder="1" applyAlignment="1">
      <alignment horizontal="left"/>
    </xf>
    <xf numFmtId="0" fontId="19" fillId="24" borderId="11" xfId="0" applyFont="1" applyFill="1" applyBorder="1" applyAlignment="1">
      <alignment horizontal="left" vertical="top" wrapText="1" indent="1"/>
    </xf>
    <xf numFmtId="0" fontId="19" fillId="26" borderId="26" xfId="0" applyFont="1" applyFill="1" applyBorder="1" applyAlignment="1">
      <alignment horizontal="left" vertical="top" wrapText="1" indent="1"/>
    </xf>
    <xf numFmtId="0" fontId="19" fillId="26" borderId="28" xfId="0" applyFont="1" applyFill="1" applyBorder="1"/>
    <xf numFmtId="0" fontId="19" fillId="26" borderId="11" xfId="0" applyFont="1" applyFill="1" applyBorder="1" applyAlignment="1">
      <alignment horizontal="left" vertical="top" wrapText="1" indent="1"/>
    </xf>
    <xf numFmtId="0" fontId="19" fillId="26" borderId="12" xfId="0" applyFont="1" applyFill="1" applyBorder="1"/>
    <xf numFmtId="0" fontId="19" fillId="26" borderId="15" xfId="0" applyFont="1" applyFill="1" applyBorder="1"/>
    <xf numFmtId="0" fontId="19" fillId="0" borderId="0" xfId="0" applyFont="1" applyFill="1"/>
    <xf numFmtId="0" fontId="19" fillId="24" borderId="32" xfId="0" applyFont="1" applyFill="1" applyBorder="1"/>
    <xf numFmtId="0" fontId="19" fillId="24" borderId="33" xfId="0" applyFont="1" applyFill="1" applyBorder="1"/>
    <xf numFmtId="164" fontId="19" fillId="24" borderId="33" xfId="0" applyNumberFormat="1" applyFont="1" applyFill="1" applyBorder="1" applyAlignment="1">
      <alignment horizontal="left"/>
    </xf>
    <xf numFmtId="0" fontId="19" fillId="24" borderId="34" xfId="0" applyFont="1" applyFill="1" applyBorder="1"/>
    <xf numFmtId="0" fontId="19" fillId="24" borderId="35" xfId="0" applyFont="1" applyFill="1" applyBorder="1"/>
    <xf numFmtId="0" fontId="19" fillId="24" borderId="36" xfId="0" applyFont="1" applyFill="1" applyBorder="1"/>
    <xf numFmtId="9" fontId="21" fillId="24" borderId="36" xfId="0" applyNumberFormat="1" applyFont="1" applyFill="1" applyBorder="1" applyAlignment="1">
      <alignment horizontal="center"/>
    </xf>
    <xf numFmtId="165" fontId="19" fillId="24" borderId="36" xfId="0" applyNumberFormat="1" applyFont="1" applyFill="1" applyBorder="1" applyAlignment="1">
      <alignment horizontal="center"/>
    </xf>
    <xf numFmtId="165" fontId="21" fillId="24" borderId="36" xfId="0" applyNumberFormat="1" applyFont="1" applyFill="1" applyBorder="1"/>
    <xf numFmtId="165" fontId="21" fillId="24" borderId="36" xfId="0" applyNumberFormat="1" applyFont="1" applyFill="1" applyBorder="1" applyAlignment="1">
      <alignment horizontal="center"/>
    </xf>
    <xf numFmtId="9" fontId="21" fillId="24" borderId="36" xfId="0" applyNumberFormat="1" applyFont="1" applyFill="1" applyBorder="1"/>
    <xf numFmtId="0" fontId="19" fillId="24" borderId="37" xfId="0" applyFont="1" applyFill="1" applyBorder="1"/>
    <xf numFmtId="0" fontId="19" fillId="24" borderId="10" xfId="0" applyFont="1" applyFill="1" applyBorder="1"/>
    <xf numFmtId="164" fontId="19" fillId="24" borderId="10" xfId="0" applyNumberFormat="1" applyFont="1" applyFill="1" applyBorder="1" applyAlignment="1">
      <alignment horizontal="left"/>
    </xf>
    <xf numFmtId="0" fontId="19" fillId="24" borderId="38" xfId="0" applyFont="1" applyFill="1" applyBorder="1"/>
    <xf numFmtId="0" fontId="0" fillId="24" borderId="0" xfId="0" applyFill="1"/>
    <xf numFmtId="0" fontId="0" fillId="24" borderId="0" xfId="0" applyFill="1" applyAlignment="1">
      <alignment horizontal="center"/>
    </xf>
    <xf numFmtId="0" fontId="20" fillId="26" borderId="19" xfId="0" applyFont="1" applyFill="1" applyBorder="1" applyAlignment="1">
      <alignment horizontal="left" indent="1"/>
    </xf>
    <xf numFmtId="164" fontId="19" fillId="26" borderId="20" xfId="0" applyNumberFormat="1" applyFont="1" applyFill="1" applyBorder="1" applyAlignment="1">
      <alignment horizontal="left"/>
    </xf>
    <xf numFmtId="0" fontId="19" fillId="26" borderId="39" xfId="0" applyFont="1" applyFill="1" applyBorder="1"/>
    <xf numFmtId="10" fontId="21" fillId="26" borderId="20" xfId="0" applyNumberFormat="1" applyFont="1" applyFill="1" applyBorder="1" applyAlignment="1">
      <alignment horizontal="left"/>
    </xf>
    <xf numFmtId="0" fontId="7" fillId="24" borderId="11" xfId="0" applyFont="1" applyFill="1" applyBorder="1" applyAlignment="1">
      <alignment horizontal="left" indent="2"/>
    </xf>
    <xf numFmtId="6" fontId="7" fillId="24" borderId="12" xfId="0" applyNumberFormat="1" applyFont="1" applyFill="1" applyBorder="1" applyAlignment="1">
      <alignment horizontal="center"/>
    </xf>
    <xf numFmtId="0" fontId="19" fillId="0" borderId="0" xfId="0" applyFont="1" applyBorder="1" applyAlignment="1">
      <alignment vertical="top"/>
    </xf>
    <xf numFmtId="0" fontId="19" fillId="0" borderId="0" xfId="0" applyFont="1" applyAlignment="1">
      <alignment vertical="top"/>
    </xf>
    <xf numFmtId="164" fontId="19" fillId="0" borderId="0" xfId="0" applyNumberFormat="1" applyFont="1" applyAlignment="1">
      <alignment horizontal="center" vertical="top"/>
    </xf>
    <xf numFmtId="0" fontId="19" fillId="24" borderId="11" xfId="0" applyFont="1" applyFill="1" applyBorder="1" applyAlignment="1">
      <alignment vertical="top"/>
    </xf>
    <xf numFmtId="164" fontId="39" fillId="24" borderId="28" xfId="0" applyNumberFormat="1" applyFont="1" applyFill="1" applyBorder="1" applyAlignment="1">
      <alignment horizontal="center" vertical="top"/>
    </xf>
    <xf numFmtId="164" fontId="39" fillId="24" borderId="28" xfId="0" applyNumberFormat="1" applyFont="1" applyFill="1" applyBorder="1" applyAlignment="1">
      <alignment horizontal="left" vertical="top"/>
    </xf>
    <xf numFmtId="0" fontId="19" fillId="0" borderId="0" xfId="0" applyFont="1" applyFill="1" applyAlignment="1">
      <alignment vertical="top"/>
    </xf>
    <xf numFmtId="3" fontId="21" fillId="24" borderId="11" xfId="0" applyNumberFormat="1" applyFont="1" applyFill="1" applyBorder="1" applyAlignment="1">
      <alignment horizontal="center" vertical="top"/>
    </xf>
    <xf numFmtId="3" fontId="21" fillId="24" borderId="12" xfId="0" applyNumberFormat="1" applyFont="1" applyFill="1" applyBorder="1" applyAlignment="1">
      <alignment horizontal="center" vertical="top"/>
    </xf>
    <xf numFmtId="3" fontId="19" fillId="24" borderId="11" xfId="0" applyNumberFormat="1" applyFont="1" applyFill="1" applyBorder="1" applyAlignment="1">
      <alignment horizontal="center" vertical="top"/>
    </xf>
    <xf numFmtId="3" fontId="21" fillId="24" borderId="12" xfId="0" applyNumberFormat="1" applyFont="1" applyFill="1" applyBorder="1" applyAlignment="1">
      <alignment horizontal="left" vertical="top"/>
    </xf>
    <xf numFmtId="164" fontId="19" fillId="24" borderId="11" xfId="0" applyNumberFormat="1" applyFont="1" applyFill="1" applyBorder="1" applyAlignment="1">
      <alignment horizontal="center" vertical="top"/>
    </xf>
    <xf numFmtId="164" fontId="19" fillId="24" borderId="12" xfId="0" applyNumberFormat="1" applyFont="1" applyFill="1" applyBorder="1" applyAlignment="1">
      <alignment horizontal="center" vertical="top"/>
    </xf>
    <xf numFmtId="0" fontId="19" fillId="24" borderId="11" xfId="0" applyFont="1" applyFill="1" applyBorder="1" applyAlignment="1">
      <alignment vertical="top" wrapText="1"/>
    </xf>
    <xf numFmtId="164" fontId="21" fillId="24" borderId="11" xfId="0" applyNumberFormat="1" applyFont="1" applyFill="1" applyBorder="1" applyAlignment="1">
      <alignment horizontal="center" vertical="top"/>
    </xf>
    <xf numFmtId="164" fontId="19" fillId="24" borderId="12" xfId="0" applyNumberFormat="1" applyFont="1" applyFill="1" applyBorder="1" applyAlignment="1">
      <alignment horizontal="left" vertical="top"/>
    </xf>
    <xf numFmtId="0" fontId="20" fillId="24" borderId="11" xfId="0" applyFont="1" applyFill="1" applyBorder="1" applyAlignment="1">
      <alignment vertical="top"/>
    </xf>
    <xf numFmtId="164" fontId="20" fillId="24" borderId="11" xfId="0" applyNumberFormat="1" applyFont="1" applyFill="1" applyBorder="1" applyAlignment="1">
      <alignment horizontal="center" vertical="top"/>
    </xf>
    <xf numFmtId="0" fontId="19" fillId="24" borderId="11" xfId="0" quotePrefix="1" applyFont="1" applyFill="1" applyBorder="1" applyAlignment="1">
      <alignment vertical="top"/>
    </xf>
    <xf numFmtId="10" fontId="19" fillId="24" borderId="12" xfId="0" applyNumberFormat="1" applyFont="1" applyFill="1" applyBorder="1" applyAlignment="1">
      <alignment horizontal="center" vertical="top"/>
    </xf>
    <xf numFmtId="10" fontId="21" fillId="24" borderId="12" xfId="0" applyNumberFormat="1" applyFont="1" applyFill="1" applyBorder="1" applyAlignment="1">
      <alignment horizontal="center" vertical="top"/>
    </xf>
    <xf numFmtId="164" fontId="21" fillId="24" borderId="12" xfId="0" applyNumberFormat="1" applyFont="1" applyFill="1" applyBorder="1" applyAlignment="1">
      <alignment horizontal="center" vertical="top"/>
    </xf>
    <xf numFmtId="0" fontId="20" fillId="24" borderId="17" xfId="0" applyFont="1" applyFill="1" applyBorder="1" applyAlignment="1">
      <alignment vertical="top"/>
    </xf>
    <xf numFmtId="164" fontId="20" fillId="24" borderId="17" xfId="0" applyNumberFormat="1" applyFont="1" applyFill="1" applyBorder="1" applyAlignment="1">
      <alignment horizontal="center" vertical="top"/>
    </xf>
    <xf numFmtId="10" fontId="19" fillId="24" borderId="28" xfId="0" applyNumberFormat="1" applyFont="1" applyFill="1" applyBorder="1" applyAlignment="1">
      <alignment horizontal="center" vertical="top"/>
    </xf>
    <xf numFmtId="10" fontId="20" fillId="24" borderId="30" xfId="0" applyNumberFormat="1" applyFont="1" applyFill="1" applyBorder="1" applyAlignment="1">
      <alignment horizontal="center" vertical="top"/>
    </xf>
    <xf numFmtId="10" fontId="20" fillId="24" borderId="12" xfId="0" applyNumberFormat="1" applyFont="1" applyFill="1" applyBorder="1" applyAlignment="1">
      <alignment horizontal="center" vertical="top"/>
    </xf>
    <xf numFmtId="10" fontId="39" fillId="24" borderId="12" xfId="0" applyNumberFormat="1" applyFont="1" applyFill="1" applyBorder="1" applyAlignment="1">
      <alignment horizontal="center" vertical="top"/>
    </xf>
    <xf numFmtId="0" fontId="20" fillId="25" borderId="19" xfId="0" applyFont="1" applyFill="1" applyBorder="1" applyAlignment="1">
      <alignment vertical="top"/>
    </xf>
    <xf numFmtId="164" fontId="20" fillId="25" borderId="19" xfId="0" applyNumberFormat="1" applyFont="1" applyFill="1" applyBorder="1" applyAlignment="1">
      <alignment horizontal="center" vertical="top"/>
    </xf>
    <xf numFmtId="164" fontId="21" fillId="24" borderId="13" xfId="0" applyNumberFormat="1" applyFont="1" applyFill="1" applyBorder="1" applyAlignment="1">
      <alignment horizontal="center" vertical="top"/>
    </xf>
    <xf numFmtId="164" fontId="21" fillId="24" borderId="15" xfId="0" applyNumberFormat="1" applyFont="1" applyFill="1" applyBorder="1" applyAlignment="1">
      <alignment horizontal="center" vertical="top"/>
    </xf>
    <xf numFmtId="164" fontId="21" fillId="24" borderId="11" xfId="0" applyNumberFormat="1" applyFont="1" applyFill="1" applyBorder="1" applyAlignment="1">
      <alignment horizontal="left" vertical="top"/>
    </xf>
    <xf numFmtId="164" fontId="21" fillId="24" borderId="12" xfId="0" applyNumberFormat="1" applyFont="1" applyFill="1" applyBorder="1" applyAlignment="1">
      <alignment horizontal="left" vertical="top"/>
    </xf>
    <xf numFmtId="164" fontId="21" fillId="24" borderId="13" xfId="0" applyNumberFormat="1" applyFont="1" applyFill="1" applyBorder="1" applyAlignment="1">
      <alignment horizontal="left" vertical="top"/>
    </xf>
    <xf numFmtId="164" fontId="21" fillId="24" borderId="15" xfId="0" applyNumberFormat="1" applyFont="1" applyFill="1" applyBorder="1" applyAlignment="1">
      <alignment horizontal="left" vertical="top"/>
    </xf>
    <xf numFmtId="164" fontId="20" fillId="25" borderId="39" xfId="0" applyNumberFormat="1" applyFont="1" applyFill="1" applyBorder="1" applyAlignment="1">
      <alignment horizontal="center" vertical="top"/>
    </xf>
    <xf numFmtId="10" fontId="19" fillId="24" borderId="11" xfId="0" applyNumberFormat="1" applyFont="1" applyFill="1" applyBorder="1" applyAlignment="1">
      <alignment horizontal="center" vertical="top"/>
    </xf>
    <xf numFmtId="0" fontId="19" fillId="24" borderId="13" xfId="0" applyFont="1" applyFill="1" applyBorder="1" applyAlignment="1">
      <alignment vertical="top" wrapText="1"/>
    </xf>
    <xf numFmtId="4" fontId="19" fillId="24" borderId="13" xfId="0" applyNumberFormat="1" applyFont="1" applyFill="1" applyBorder="1" applyAlignment="1">
      <alignment horizontal="center" vertical="top"/>
    </xf>
    <xf numFmtId="4" fontId="19" fillId="24" borderId="15" xfId="0" applyNumberFormat="1" applyFont="1" applyFill="1" applyBorder="1" applyAlignment="1">
      <alignment horizontal="center" vertical="top"/>
    </xf>
    <xf numFmtId="0" fontId="19" fillId="24" borderId="11" xfId="0" applyFont="1" applyFill="1" applyBorder="1" applyAlignment="1">
      <alignment horizontal="left" vertical="top"/>
    </xf>
    <xf numFmtId="0" fontId="20" fillId="24" borderId="0" xfId="0" applyFont="1" applyFill="1" applyBorder="1" applyAlignment="1">
      <alignment vertical="top"/>
    </xf>
    <xf numFmtId="164" fontId="20" fillId="24" borderId="0" xfId="0" applyNumberFormat="1" applyFont="1" applyFill="1" applyBorder="1" applyAlignment="1">
      <alignment horizontal="center" vertical="top"/>
    </xf>
    <xf numFmtId="164" fontId="20" fillId="24" borderId="40" xfId="0" applyNumberFormat="1" applyFont="1" applyFill="1" applyBorder="1" applyAlignment="1">
      <alignment horizontal="center" vertical="top"/>
    </xf>
    <xf numFmtId="164" fontId="20" fillId="24" borderId="41" xfId="0" applyNumberFormat="1" applyFont="1" applyFill="1" applyBorder="1" applyAlignment="1">
      <alignment horizontal="center" vertical="top"/>
    </xf>
    <xf numFmtId="0" fontId="19" fillId="24" borderId="0" xfId="0" applyFont="1" applyFill="1"/>
    <xf numFmtId="0" fontId="19" fillId="24" borderId="0" xfId="0" applyFont="1" applyFill="1" applyAlignment="1">
      <alignment vertical="top"/>
    </xf>
    <xf numFmtId="164" fontId="19" fillId="24" borderId="0" xfId="0" applyNumberFormat="1" applyFont="1" applyFill="1" applyAlignment="1">
      <alignment horizontal="center" vertical="top"/>
    </xf>
    <xf numFmtId="164" fontId="19" fillId="24" borderId="0" xfId="0" applyNumberFormat="1" applyFont="1" applyFill="1" applyBorder="1" applyAlignment="1">
      <alignment horizontal="center" vertical="top"/>
    </xf>
    <xf numFmtId="0" fontId="19" fillId="24" borderId="35" xfId="0" applyFont="1" applyFill="1" applyBorder="1" applyAlignment="1">
      <alignment vertical="top"/>
    </xf>
    <xf numFmtId="0" fontId="19" fillId="24" borderId="0" xfId="0" applyFont="1" applyFill="1" applyBorder="1"/>
    <xf numFmtId="0" fontId="19" fillId="24" borderId="0" xfId="0" applyFont="1" applyFill="1" applyBorder="1" applyAlignment="1">
      <alignment vertical="top"/>
    </xf>
    <xf numFmtId="164" fontId="20" fillId="24" borderId="0" xfId="0" applyNumberFormat="1" applyFont="1" applyFill="1" applyBorder="1" applyAlignment="1">
      <alignment horizontal="left" vertical="top"/>
    </xf>
    <xf numFmtId="164" fontId="20" fillId="24" borderId="13" xfId="0" applyNumberFormat="1" applyFont="1" applyFill="1" applyBorder="1" applyAlignment="1">
      <alignment horizontal="center" vertical="top"/>
    </xf>
    <xf numFmtId="164" fontId="19" fillId="24" borderId="15" xfId="0" applyNumberFormat="1" applyFont="1" applyFill="1" applyBorder="1" applyAlignment="1">
      <alignment horizontal="center" vertical="top"/>
    </xf>
    <xf numFmtId="0" fontId="13" fillId="24" borderId="0" xfId="0" applyFont="1" applyFill="1" applyAlignment="1">
      <alignment vertical="top"/>
    </xf>
    <xf numFmtId="0" fontId="13" fillId="24" borderId="0" xfId="0" applyFont="1" applyFill="1" applyBorder="1" applyAlignment="1">
      <alignment vertical="top"/>
    </xf>
    <xf numFmtId="0" fontId="13" fillId="24" borderId="0" xfId="0" applyFont="1" applyFill="1" applyAlignment="1">
      <alignment horizontal="center" vertical="top"/>
    </xf>
    <xf numFmtId="0" fontId="12" fillId="24" borderId="0" xfId="0" applyFont="1" applyFill="1" applyAlignment="1">
      <alignment horizontal="center" vertical="top"/>
    </xf>
    <xf numFmtId="164" fontId="13" fillId="24" borderId="0" xfId="0" applyNumberFormat="1" applyFont="1" applyFill="1" applyAlignment="1">
      <alignment horizontal="center" vertical="top"/>
    </xf>
    <xf numFmtId="10" fontId="13" fillId="24" borderId="0" xfId="0" applyNumberFormat="1" applyFont="1" applyFill="1" applyAlignment="1">
      <alignment horizontal="center" vertical="top"/>
    </xf>
    <xf numFmtId="10" fontId="14" fillId="24" borderId="0" xfId="0" applyNumberFormat="1" applyFont="1" applyFill="1" applyAlignment="1">
      <alignment horizontal="center" vertical="top"/>
    </xf>
    <xf numFmtId="164" fontId="12" fillId="24" borderId="0" xfId="0" applyNumberFormat="1" applyFont="1" applyFill="1" applyAlignment="1">
      <alignment horizontal="center" vertical="top"/>
    </xf>
    <xf numFmtId="0" fontId="13" fillId="24" borderId="0" xfId="0" applyFont="1" applyFill="1" applyAlignment="1">
      <alignment horizontal="center"/>
    </xf>
    <xf numFmtId="164" fontId="12" fillId="24" borderId="0" xfId="0" applyNumberFormat="1" applyFont="1" applyFill="1" applyBorder="1" applyAlignment="1">
      <alignment horizontal="center"/>
    </xf>
    <xf numFmtId="164" fontId="0" fillId="24" borderId="0" xfId="0" applyNumberFormat="1" applyFill="1" applyAlignment="1">
      <alignment horizontal="center"/>
    </xf>
    <xf numFmtId="0" fontId="0" fillId="24" borderId="0" xfId="0" applyFill="1" applyBorder="1"/>
    <xf numFmtId="10" fontId="19" fillId="26" borderId="14" xfId="0" applyNumberFormat="1" applyFont="1" applyFill="1" applyBorder="1" applyAlignment="1">
      <alignment horizontal="left"/>
    </xf>
    <xf numFmtId="164" fontId="13" fillId="24" borderId="29" xfId="0" applyNumberFormat="1" applyFont="1" applyFill="1" applyBorder="1" applyAlignment="1">
      <alignment horizontal="left" vertical="top" indent="1"/>
    </xf>
    <xf numFmtId="0" fontId="19" fillId="24" borderId="0" xfId="0" applyFont="1" applyFill="1" applyBorder="1" applyAlignment="1"/>
    <xf numFmtId="0" fontId="0" fillId="24" borderId="0" xfId="0" applyFill="1" applyBorder="1" applyAlignment="1"/>
    <xf numFmtId="164" fontId="19" fillId="24" borderId="0" xfId="0" applyNumberFormat="1" applyFont="1" applyFill="1" applyAlignment="1">
      <alignment horizontal="left"/>
    </xf>
    <xf numFmtId="0" fontId="13" fillId="24" borderId="0" xfId="0" applyFont="1" applyFill="1" applyAlignment="1">
      <alignment horizontal="center" vertical="top" wrapText="1"/>
    </xf>
    <xf numFmtId="0" fontId="4" fillId="0" borderId="0" xfId="39" applyFont="1" applyProtection="1"/>
    <xf numFmtId="0" fontId="41" fillId="24" borderId="0" xfId="39" applyFont="1" applyFill="1" applyAlignment="1" applyProtection="1">
      <alignment horizontal="center" vertical="top"/>
    </xf>
    <xf numFmtId="0" fontId="0" fillId="24" borderId="0" xfId="0" applyFill="1" applyAlignment="1">
      <alignment horizontal="center" vertical="top"/>
    </xf>
    <xf numFmtId="0" fontId="0" fillId="24" borderId="0" xfId="0" applyFill="1" applyAlignment="1"/>
    <xf numFmtId="0" fontId="4" fillId="24" borderId="0" xfId="39" applyFont="1" applyFill="1" applyProtection="1"/>
    <xf numFmtId="0" fontId="13" fillId="24" borderId="31" xfId="0" applyFont="1" applyFill="1" applyBorder="1" applyAlignment="1">
      <alignment horizontal="center" vertical="top" wrapText="1"/>
    </xf>
    <xf numFmtId="6" fontId="13" fillId="24" borderId="33" xfId="0" applyNumberFormat="1" applyFont="1" applyFill="1" applyBorder="1" applyAlignment="1">
      <alignment horizontal="center" vertical="top" wrapText="1"/>
    </xf>
    <xf numFmtId="6" fontId="13" fillId="24" borderId="42" xfId="0" applyNumberFormat="1" applyFont="1" applyFill="1" applyBorder="1" applyAlignment="1">
      <alignment horizontal="center" vertical="top" wrapText="1"/>
    </xf>
    <xf numFmtId="0" fontId="15" fillId="28" borderId="19" xfId="0" applyFont="1" applyFill="1" applyBorder="1" applyAlignment="1">
      <alignment horizontal="center" vertical="top" wrapText="1"/>
    </xf>
    <xf numFmtId="0" fontId="16" fillId="28" borderId="20" xfId="0" applyFont="1" applyFill="1" applyBorder="1" applyAlignment="1">
      <alignment horizontal="center" vertical="top" wrapText="1"/>
    </xf>
    <xf numFmtId="10" fontId="15" fillId="28" borderId="39" xfId="0" applyNumberFormat="1" applyFont="1" applyFill="1" applyBorder="1" applyAlignment="1">
      <alignment horizontal="center" vertical="top" wrapText="1"/>
    </xf>
    <xf numFmtId="0" fontId="16" fillId="28" borderId="43" xfId="0" applyFont="1" applyFill="1" applyBorder="1" applyAlignment="1">
      <alignment horizontal="center"/>
    </xf>
    <xf numFmtId="0" fontId="16" fillId="28" borderId="14" xfId="0" applyFont="1" applyFill="1" applyBorder="1" applyAlignment="1">
      <alignment horizontal="center"/>
    </xf>
    <xf numFmtId="10" fontId="15" fillId="28" borderId="15" xfId="0" applyNumberFormat="1" applyFont="1" applyFill="1" applyBorder="1" applyAlignment="1">
      <alignment horizontal="center"/>
    </xf>
    <xf numFmtId="0" fontId="15" fillId="28" borderId="13" xfId="0" applyFont="1" applyFill="1" applyBorder="1" applyAlignment="1">
      <alignment horizontal="left"/>
    </xf>
    <xf numFmtId="6" fontId="15" fillId="28" borderId="41" xfId="0" applyNumberFormat="1" applyFont="1" applyFill="1" applyBorder="1" applyAlignment="1">
      <alignment horizontal="center"/>
    </xf>
    <xf numFmtId="0" fontId="7" fillId="24" borderId="26" xfId="0" applyFont="1" applyFill="1" applyBorder="1"/>
    <xf numFmtId="0" fontId="7" fillId="24" borderId="27" xfId="0" applyFont="1" applyFill="1" applyBorder="1"/>
    <xf numFmtId="0" fontId="7" fillId="24" borderId="28" xfId="0" applyFont="1" applyFill="1" applyBorder="1"/>
    <xf numFmtId="0" fontId="7" fillId="24" borderId="13" xfId="0" applyFont="1" applyFill="1" applyBorder="1"/>
    <xf numFmtId="0" fontId="7" fillId="24" borderId="26" xfId="0" quotePrefix="1" applyFont="1" applyFill="1" applyBorder="1" applyAlignment="1">
      <alignment vertical="top"/>
    </xf>
    <xf numFmtId="0" fontId="7" fillId="24" borderId="27" xfId="0" quotePrefix="1" applyFont="1" applyFill="1" applyBorder="1" applyAlignment="1">
      <alignment vertical="top"/>
    </xf>
    <xf numFmtId="164" fontId="9" fillId="24" borderId="27" xfId="0" applyNumberFormat="1" applyFont="1" applyFill="1" applyBorder="1" applyAlignment="1">
      <alignment horizontal="center" vertical="top"/>
    </xf>
    <xf numFmtId="164" fontId="7" fillId="24" borderId="27" xfId="0" applyNumberFormat="1" applyFont="1" applyFill="1" applyBorder="1" applyAlignment="1">
      <alignment horizontal="center" vertical="top"/>
    </xf>
    <xf numFmtId="164" fontId="7" fillId="24" borderId="28" xfId="0" applyNumberFormat="1" applyFont="1" applyFill="1" applyBorder="1" applyAlignment="1">
      <alignment horizontal="center" vertical="top"/>
    </xf>
    <xf numFmtId="164" fontId="7" fillId="24" borderId="12" xfId="0" applyNumberFormat="1" applyFont="1" applyFill="1" applyBorder="1" applyAlignment="1">
      <alignment horizontal="center" vertical="top"/>
    </xf>
    <xf numFmtId="9" fontId="7" fillId="24" borderId="12" xfId="0" applyNumberFormat="1" applyFont="1" applyFill="1" applyBorder="1" applyAlignment="1">
      <alignment horizontal="center" vertical="top"/>
    </xf>
    <xf numFmtId="9" fontId="7" fillId="24" borderId="44" xfId="0" applyNumberFormat="1" applyFont="1" applyFill="1" applyBorder="1" applyAlignment="1">
      <alignment horizontal="center" vertical="top"/>
    </xf>
    <xf numFmtId="10" fontId="11" fillId="24" borderId="30" xfId="0" applyNumberFormat="1" applyFont="1" applyFill="1" applyBorder="1" applyAlignment="1">
      <alignment horizontal="center" vertical="top"/>
    </xf>
    <xf numFmtId="0" fontId="7" fillId="25" borderId="39" xfId="0" applyFont="1" applyFill="1" applyBorder="1"/>
    <xf numFmtId="0" fontId="8" fillId="25" borderId="25" xfId="0" applyFont="1" applyFill="1" applyBorder="1" applyAlignment="1">
      <alignment horizontal="center"/>
    </xf>
    <xf numFmtId="10" fontId="10" fillId="24" borderId="12" xfId="0" applyNumberFormat="1" applyFont="1" applyFill="1" applyBorder="1" applyAlignment="1">
      <alignment horizontal="center" vertical="top"/>
    </xf>
    <xf numFmtId="10" fontId="7" fillId="24" borderId="12" xfId="0" applyNumberFormat="1" applyFont="1" applyFill="1" applyBorder="1" applyAlignment="1">
      <alignment horizontal="center" vertical="top"/>
    </xf>
    <xf numFmtId="164" fontId="10" fillId="24" borderId="29" xfId="0" applyNumberFormat="1" applyFont="1" applyFill="1" applyBorder="1" applyAlignment="1">
      <alignment horizontal="center" vertical="top"/>
    </xf>
    <xf numFmtId="164" fontId="8" fillId="24" borderId="30" xfId="0" applyNumberFormat="1" applyFont="1" applyFill="1" applyBorder="1" applyAlignment="1">
      <alignment horizontal="center" vertical="top"/>
    </xf>
    <xf numFmtId="164" fontId="8" fillId="24" borderId="12" xfId="0" applyNumberFormat="1" applyFont="1" applyFill="1" applyBorder="1" applyAlignment="1">
      <alignment horizontal="center" vertical="top"/>
    </xf>
    <xf numFmtId="164" fontId="8" fillId="25" borderId="44" xfId="0" applyNumberFormat="1" applyFont="1" applyFill="1" applyBorder="1" applyAlignment="1">
      <alignment horizontal="center" vertical="top"/>
    </xf>
    <xf numFmtId="0" fontId="8" fillId="24" borderId="40" xfId="0" applyFont="1" applyFill="1" applyBorder="1" applyAlignment="1">
      <alignment vertical="top"/>
    </xf>
    <xf numFmtId="0" fontId="8" fillId="24" borderId="43" xfId="0" applyFont="1" applyFill="1" applyBorder="1" applyAlignment="1">
      <alignment vertical="top"/>
    </xf>
    <xf numFmtId="164" fontId="8" fillId="24" borderId="43" xfId="0" applyNumberFormat="1" applyFont="1" applyFill="1" applyBorder="1" applyAlignment="1">
      <alignment horizontal="center" vertical="top"/>
    </xf>
    <xf numFmtId="10" fontId="8" fillId="24" borderId="43" xfId="0" applyNumberFormat="1" applyFont="1" applyFill="1" applyBorder="1" applyAlignment="1">
      <alignment horizontal="center" vertical="top"/>
    </xf>
    <xf numFmtId="164" fontId="8" fillId="25" borderId="39" xfId="0" applyNumberFormat="1" applyFont="1" applyFill="1" applyBorder="1" applyAlignment="1">
      <alignment horizontal="center" vertical="top"/>
    </xf>
    <xf numFmtId="164" fontId="19" fillId="24" borderId="14" xfId="0" applyNumberFormat="1" applyFont="1" applyFill="1" applyBorder="1" applyAlignment="1">
      <alignment horizontal="center" vertical="top"/>
    </xf>
    <xf numFmtId="164" fontId="19" fillId="24" borderId="13" xfId="0" applyNumberFormat="1" applyFont="1" applyFill="1" applyBorder="1" applyAlignment="1">
      <alignment horizontal="center" vertical="top"/>
    </xf>
    <xf numFmtId="0" fontId="13" fillId="24" borderId="13" xfId="0" applyFont="1" applyFill="1" applyBorder="1" applyAlignment="1">
      <alignment horizontal="left" vertical="center" wrapText="1" indent="1"/>
    </xf>
    <xf numFmtId="0" fontId="15" fillId="28" borderId="19" xfId="0" applyFont="1" applyFill="1" applyBorder="1" applyAlignment="1">
      <alignment horizontal="left" vertical="top" wrapText="1" indent="1"/>
    </xf>
    <xf numFmtId="164" fontId="15" fillId="28" borderId="39" xfId="0" applyNumberFormat="1" applyFont="1" applyFill="1" applyBorder="1" applyAlignment="1">
      <alignment horizontal="left" vertical="top" indent="1"/>
    </xf>
    <xf numFmtId="0" fontId="15" fillId="28" borderId="19" xfId="0" applyFont="1" applyFill="1" applyBorder="1" applyAlignment="1">
      <alignment horizontal="left" vertical="top" indent="1"/>
    </xf>
    <xf numFmtId="0" fontId="8" fillId="24" borderId="0" xfId="39" applyFont="1" applyFill="1" applyBorder="1" applyAlignment="1" applyProtection="1">
      <alignment horizontal="center"/>
    </xf>
    <xf numFmtId="0" fontId="4" fillId="24" borderId="0" xfId="0" applyFont="1" applyFill="1" applyBorder="1"/>
    <xf numFmtId="6" fontId="7" fillId="24" borderId="0" xfId="39" applyNumberFormat="1" applyFont="1" applyFill="1" applyBorder="1" applyProtection="1"/>
    <xf numFmtId="167" fontId="7" fillId="24" borderId="0" xfId="39" applyNumberFormat="1" applyFont="1" applyFill="1" applyBorder="1" applyProtection="1"/>
    <xf numFmtId="167" fontId="7" fillId="24" borderId="0" xfId="0" applyNumberFormat="1" applyFont="1" applyFill="1" applyBorder="1"/>
    <xf numFmtId="0" fontId="8" fillId="24" borderId="11" xfId="39" applyFont="1" applyFill="1" applyBorder="1" applyProtection="1"/>
    <xf numFmtId="0" fontId="8" fillId="24" borderId="12" xfId="39" applyFont="1" applyFill="1" applyBorder="1" applyAlignment="1" applyProtection="1">
      <alignment horizontal="center"/>
    </xf>
    <xf numFmtId="0" fontId="7" fillId="24" borderId="11" xfId="39" applyFont="1" applyFill="1" applyBorder="1" applyProtection="1"/>
    <xf numFmtId="167" fontId="7" fillId="24" borderId="12" xfId="39" applyNumberFormat="1" applyFont="1" applyFill="1" applyBorder="1" applyProtection="1"/>
    <xf numFmtId="0" fontId="4" fillId="24" borderId="12" xfId="0" applyFont="1" applyFill="1" applyBorder="1"/>
    <xf numFmtId="0" fontId="4" fillId="24" borderId="11" xfId="0" applyFont="1" applyFill="1" applyBorder="1"/>
    <xf numFmtId="167" fontId="7" fillId="24" borderId="12" xfId="0" applyNumberFormat="1" applyFont="1" applyFill="1" applyBorder="1"/>
    <xf numFmtId="0" fontId="7" fillId="24" borderId="13" xfId="39" applyFont="1" applyFill="1" applyBorder="1" applyProtection="1"/>
    <xf numFmtId="167" fontId="7" fillId="24" borderId="14" xfId="0" applyNumberFormat="1" applyFont="1" applyFill="1" applyBorder="1"/>
    <xf numFmtId="0" fontId="7" fillId="24" borderId="33" xfId="0" applyFont="1" applyFill="1" applyBorder="1"/>
    <xf numFmtId="167" fontId="7" fillId="24" borderId="10" xfId="39" applyNumberFormat="1" applyFont="1" applyFill="1" applyBorder="1" applyProtection="1"/>
    <xf numFmtId="0" fontId="4" fillId="24" borderId="33" xfId="0" applyFont="1" applyFill="1" applyBorder="1"/>
    <xf numFmtId="0" fontId="8" fillId="24" borderId="33" xfId="39" applyFont="1" applyFill="1" applyBorder="1" applyProtection="1"/>
    <xf numFmtId="0" fontId="8" fillId="24" borderId="31" xfId="0" applyFont="1" applyFill="1" applyBorder="1"/>
    <xf numFmtId="0" fontId="7" fillId="24" borderId="42" xfId="0" applyFont="1" applyFill="1" applyBorder="1"/>
    <xf numFmtId="0" fontId="7" fillId="24" borderId="16" xfId="39" applyFont="1" applyFill="1" applyBorder="1" applyProtection="1"/>
    <xf numFmtId="167" fontId="7" fillId="24" borderId="29" xfId="39" applyNumberFormat="1" applyFont="1" applyFill="1" applyBorder="1" applyProtection="1"/>
    <xf numFmtId="0" fontId="4" fillId="24" borderId="42" xfId="0" applyFont="1" applyFill="1" applyBorder="1"/>
    <xf numFmtId="0" fontId="8" fillId="24" borderId="31" xfId="39" applyFont="1" applyFill="1" applyBorder="1" applyProtection="1"/>
    <xf numFmtId="6" fontId="19" fillId="24" borderId="11" xfId="0" applyNumberFormat="1" applyFont="1" applyFill="1" applyBorder="1" applyAlignment="1">
      <alignment horizontal="center" vertical="top"/>
    </xf>
    <xf numFmtId="164" fontId="21" fillId="24" borderId="0" xfId="0" applyNumberFormat="1" applyFont="1" applyFill="1" applyBorder="1" applyAlignment="1">
      <alignment horizontal="right" vertical="top"/>
    </xf>
    <xf numFmtId="164" fontId="21" fillId="24" borderId="0" xfId="0" applyNumberFormat="1" applyFont="1" applyFill="1" applyAlignment="1">
      <alignment horizontal="left" vertical="top"/>
    </xf>
    <xf numFmtId="0" fontId="19" fillId="24" borderId="0" xfId="0" applyFont="1" applyFill="1" applyBorder="1" applyAlignment="1">
      <alignment horizontal="left" vertical="top"/>
    </xf>
    <xf numFmtId="3" fontId="21" fillId="24" borderId="0" xfId="0" applyNumberFormat="1" applyFont="1" applyFill="1" applyBorder="1" applyAlignment="1">
      <alignment horizontal="left" vertical="top"/>
    </xf>
    <xf numFmtId="164" fontId="19" fillId="24" borderId="0" xfId="0" applyNumberFormat="1" applyFont="1" applyFill="1" applyBorder="1" applyAlignment="1">
      <alignment horizontal="left" vertical="top"/>
    </xf>
    <xf numFmtId="164" fontId="19" fillId="24" borderId="0" xfId="0" applyNumberFormat="1" applyFont="1" applyFill="1" applyBorder="1" applyAlignment="1">
      <alignment horizontal="right" vertical="top"/>
    </xf>
    <xf numFmtId="164" fontId="21" fillId="24" borderId="0" xfId="0" applyNumberFormat="1" applyFont="1" applyFill="1" applyBorder="1" applyAlignment="1">
      <alignment horizontal="left" vertical="top"/>
    </xf>
    <xf numFmtId="164" fontId="39" fillId="24" borderId="0" xfId="0" applyNumberFormat="1" applyFont="1" applyFill="1" applyBorder="1" applyAlignment="1">
      <alignment horizontal="center" vertical="top"/>
    </xf>
    <xf numFmtId="164" fontId="8" fillId="24" borderId="11" xfId="0" applyNumberFormat="1" applyFont="1" applyFill="1" applyBorder="1" applyAlignment="1">
      <alignment horizontal="left" vertical="top" indent="1"/>
    </xf>
    <xf numFmtId="164" fontId="9" fillId="24" borderId="0" xfId="0" applyNumberFormat="1" applyFont="1" applyFill="1" applyBorder="1" applyAlignment="1">
      <alignment horizontal="left" vertical="top"/>
    </xf>
    <xf numFmtId="0" fontId="19" fillId="24" borderId="12" xfId="0" applyFont="1" applyFill="1" applyBorder="1" applyAlignment="1">
      <alignment vertical="top"/>
    </xf>
    <xf numFmtId="164" fontId="39" fillId="24" borderId="0" xfId="0" applyNumberFormat="1" applyFont="1" applyFill="1" applyBorder="1" applyAlignment="1">
      <alignment horizontal="left" vertical="top"/>
    </xf>
    <xf numFmtId="164" fontId="19" fillId="24" borderId="16" xfId="0" applyNumberFormat="1" applyFont="1" applyFill="1" applyBorder="1" applyAlignment="1">
      <alignment horizontal="right" vertical="top"/>
    </xf>
    <xf numFmtId="164" fontId="19" fillId="24" borderId="10" xfId="0" applyNumberFormat="1" applyFont="1" applyFill="1" applyBorder="1" applyAlignment="1">
      <alignment horizontal="left" vertical="top"/>
    </xf>
    <xf numFmtId="164" fontId="39" fillId="24" borderId="10" xfId="0" applyNumberFormat="1" applyFont="1" applyFill="1" applyBorder="1" applyAlignment="1">
      <alignment horizontal="left" vertical="top"/>
    </xf>
    <xf numFmtId="0" fontId="19" fillId="24" borderId="10" xfId="0" applyFont="1" applyFill="1" applyBorder="1" applyAlignment="1">
      <alignment vertical="top"/>
    </xf>
    <xf numFmtId="0" fontId="19" fillId="24" borderId="29" xfId="0" applyFont="1" applyFill="1" applyBorder="1" applyAlignment="1">
      <alignment vertical="top"/>
    </xf>
    <xf numFmtId="164" fontId="19" fillId="25" borderId="45" xfId="0" applyNumberFormat="1" applyFont="1" applyFill="1" applyBorder="1" applyAlignment="1">
      <alignment horizontal="right" vertical="top"/>
    </xf>
    <xf numFmtId="164" fontId="19" fillId="24" borderId="46" xfId="0" applyNumberFormat="1" applyFont="1" applyFill="1" applyBorder="1" applyAlignment="1">
      <alignment horizontal="right" vertical="top"/>
    </xf>
    <xf numFmtId="0" fontId="20" fillId="0" borderId="47" xfId="0" applyFont="1" applyBorder="1" applyAlignment="1">
      <alignment vertical="top" wrapText="1"/>
    </xf>
    <xf numFmtId="0" fontId="20" fillId="0" borderId="48" xfId="0" applyFont="1" applyBorder="1" applyAlignment="1">
      <alignment horizontal="left" vertical="top" wrapText="1"/>
    </xf>
    <xf numFmtId="0" fontId="19" fillId="0" borderId="48" xfId="0" applyFont="1" applyBorder="1" applyAlignment="1">
      <alignment vertical="top" wrapText="1"/>
    </xf>
    <xf numFmtId="0" fontId="20" fillId="0" borderId="48" xfId="0" applyFont="1" applyBorder="1" applyAlignment="1">
      <alignment vertical="top" wrapText="1"/>
    </xf>
    <xf numFmtId="0" fontId="19" fillId="26" borderId="32" xfId="0" applyFont="1" applyFill="1" applyBorder="1" applyAlignment="1">
      <alignment vertical="top"/>
    </xf>
    <xf numFmtId="0" fontId="19" fillId="26" borderId="42" xfId="0" applyFont="1" applyFill="1" applyBorder="1" applyAlignment="1">
      <alignment vertical="top"/>
    </xf>
    <xf numFmtId="0" fontId="20" fillId="25" borderId="46" xfId="0" applyFont="1" applyFill="1" applyBorder="1" applyAlignment="1">
      <alignment vertical="top"/>
    </xf>
    <xf numFmtId="0" fontId="20" fillId="25" borderId="47" xfId="0" applyFont="1" applyFill="1" applyBorder="1" applyAlignment="1">
      <alignment horizontal="center" vertical="top" wrapText="1"/>
    </xf>
    <xf numFmtId="0" fontId="20" fillId="25" borderId="48" xfId="0" applyFont="1" applyFill="1" applyBorder="1" applyAlignment="1">
      <alignment horizontal="center" vertical="top" wrapText="1"/>
    </xf>
    <xf numFmtId="0" fontId="20" fillId="25" borderId="49" xfId="0" applyFont="1" applyFill="1" applyBorder="1" applyAlignment="1">
      <alignment horizontal="center" vertical="top" wrapText="1"/>
    </xf>
    <xf numFmtId="0" fontId="20" fillId="26" borderId="48" xfId="0" applyFont="1" applyFill="1" applyBorder="1" applyAlignment="1">
      <alignment horizontal="center" vertical="top" wrapText="1"/>
    </xf>
    <xf numFmtId="0" fontId="20" fillId="26" borderId="50" xfId="0" applyFont="1" applyFill="1" applyBorder="1" applyAlignment="1">
      <alignment horizontal="center" vertical="top" wrapText="1"/>
    </xf>
    <xf numFmtId="0" fontId="19" fillId="24" borderId="46" xfId="0" applyFont="1" applyFill="1" applyBorder="1" applyAlignment="1">
      <alignment vertical="top"/>
    </xf>
    <xf numFmtId="167" fontId="21" fillId="0" borderId="48" xfId="28" applyNumberFormat="1" applyFont="1" applyFill="1" applyBorder="1" applyAlignment="1">
      <alignment horizontal="left" vertical="top" wrapText="1"/>
    </xf>
    <xf numFmtId="167" fontId="19" fillId="0" borderId="48" xfId="28" applyNumberFormat="1" applyFont="1" applyBorder="1" applyAlignment="1">
      <alignment horizontal="left" vertical="top" wrapText="1"/>
    </xf>
    <xf numFmtId="167" fontId="19" fillId="0" borderId="48" xfId="28" applyNumberFormat="1" applyFont="1" applyBorder="1" applyAlignment="1">
      <alignment vertical="top" wrapText="1"/>
    </xf>
    <xf numFmtId="0" fontId="19" fillId="0" borderId="49" xfId="0" applyFont="1" applyBorder="1" applyAlignment="1">
      <alignment vertical="top" wrapText="1"/>
    </xf>
    <xf numFmtId="167" fontId="21" fillId="26" borderId="48" xfId="28" applyNumberFormat="1" applyFont="1" applyFill="1" applyBorder="1" applyAlignment="1">
      <alignment horizontal="left" vertical="top" wrapText="1"/>
    </xf>
    <xf numFmtId="0" fontId="19" fillId="26" borderId="50" xfId="0" applyFont="1" applyFill="1" applyBorder="1" applyAlignment="1">
      <alignment vertical="top"/>
    </xf>
    <xf numFmtId="167" fontId="21" fillId="0" borderId="48" xfId="28" applyNumberFormat="1" applyFont="1" applyBorder="1" applyAlignment="1">
      <alignment horizontal="left" vertical="top" wrapText="1"/>
    </xf>
    <xf numFmtId="167" fontId="21" fillId="0" borderId="48" xfId="28" applyNumberFormat="1" applyFont="1" applyBorder="1" applyAlignment="1">
      <alignment vertical="top" wrapText="1"/>
    </xf>
    <xf numFmtId="167" fontId="21" fillId="0" borderId="49" xfId="28" applyNumberFormat="1" applyFont="1" applyBorder="1" applyAlignment="1">
      <alignment vertical="top" wrapText="1"/>
    </xf>
    <xf numFmtId="0" fontId="19" fillId="24" borderId="46" xfId="0" applyFont="1" applyFill="1" applyBorder="1" applyAlignment="1">
      <alignment horizontal="left" vertical="top"/>
    </xf>
    <xf numFmtId="167" fontId="19" fillId="0" borderId="48" xfId="28" applyNumberFormat="1" applyFont="1" applyFill="1" applyBorder="1" applyAlignment="1">
      <alignment horizontal="left" vertical="top" wrapText="1"/>
    </xf>
    <xf numFmtId="167" fontId="21" fillId="0" borderId="48" xfId="28" applyNumberFormat="1" applyFont="1" applyFill="1" applyBorder="1" applyAlignment="1">
      <alignment vertical="top" wrapText="1"/>
    </xf>
    <xf numFmtId="0" fontId="19" fillId="0" borderId="48" xfId="0" applyFont="1" applyBorder="1" applyAlignment="1">
      <alignment vertical="top"/>
    </xf>
    <xf numFmtId="0" fontId="19" fillId="24" borderId="51" xfId="0" applyFont="1" applyFill="1" applyBorder="1" applyAlignment="1">
      <alignment vertical="top"/>
    </xf>
    <xf numFmtId="167" fontId="19" fillId="0" borderId="52" xfId="28" applyNumberFormat="1" applyFont="1" applyFill="1" applyBorder="1" applyAlignment="1">
      <alignment horizontal="left" vertical="top" wrapText="1"/>
    </xf>
    <xf numFmtId="167" fontId="21" fillId="0" borderId="52" xfId="28" applyNumberFormat="1" applyFont="1" applyFill="1" applyBorder="1" applyAlignment="1">
      <alignment horizontal="left" vertical="top" wrapText="1"/>
    </xf>
    <xf numFmtId="167" fontId="21" fillId="0" borderId="52" xfId="28" applyNumberFormat="1" applyFont="1" applyBorder="1" applyAlignment="1">
      <alignment horizontal="left" vertical="top" wrapText="1"/>
    </xf>
    <xf numFmtId="167" fontId="19" fillId="0" borderId="52" xfId="28" applyNumberFormat="1" applyFont="1" applyBorder="1" applyAlignment="1">
      <alignment vertical="top" wrapText="1"/>
    </xf>
    <xf numFmtId="0" fontId="19" fillId="0" borderId="52" xfId="0" applyFont="1" applyBorder="1" applyAlignment="1">
      <alignment vertical="top" wrapText="1"/>
    </xf>
    <xf numFmtId="0" fontId="19" fillId="0" borderId="53" xfId="0" applyFont="1" applyBorder="1" applyAlignment="1">
      <alignment vertical="top" wrapText="1"/>
    </xf>
    <xf numFmtId="167" fontId="21" fillId="26" borderId="52" xfId="28" applyNumberFormat="1" applyFont="1" applyFill="1" applyBorder="1" applyAlignment="1">
      <alignment horizontal="left" vertical="top" wrapText="1"/>
    </xf>
    <xf numFmtId="0" fontId="19" fillId="26" borderId="54" xfId="0" applyFont="1" applyFill="1" applyBorder="1" applyAlignment="1">
      <alignment vertical="top"/>
    </xf>
    <xf numFmtId="0" fontId="13" fillId="24" borderId="0" xfId="0" applyFont="1" applyFill="1" applyBorder="1" applyAlignment="1">
      <alignment vertical="top" wrapText="1"/>
    </xf>
    <xf numFmtId="9" fontId="19" fillId="24" borderId="0" xfId="0" applyNumberFormat="1" applyFont="1" applyFill="1" applyBorder="1" applyAlignment="1">
      <alignment horizontal="left" vertical="top" wrapText="1"/>
    </xf>
    <xf numFmtId="167" fontId="21" fillId="24" borderId="0" xfId="28" applyNumberFormat="1" applyFont="1" applyFill="1" applyBorder="1" applyAlignment="1">
      <alignment horizontal="left" vertical="top" wrapText="1"/>
    </xf>
    <xf numFmtId="167" fontId="19" fillId="24" borderId="0" xfId="28" applyNumberFormat="1" applyFont="1" applyFill="1" applyBorder="1" applyAlignment="1">
      <alignment horizontal="left" vertical="top" wrapText="1"/>
    </xf>
    <xf numFmtId="167" fontId="19" fillId="24" borderId="0" xfId="28" applyNumberFormat="1" applyFont="1" applyFill="1" applyBorder="1" applyAlignment="1">
      <alignment vertical="top" wrapText="1"/>
    </xf>
    <xf numFmtId="0" fontId="19" fillId="24" borderId="0" xfId="0" applyFont="1" applyFill="1" applyBorder="1" applyAlignment="1">
      <alignment vertical="top" wrapText="1"/>
    </xf>
    <xf numFmtId="164" fontId="19" fillId="24" borderId="0" xfId="0" applyNumberFormat="1" applyFont="1" applyFill="1" applyBorder="1" applyAlignment="1">
      <alignment horizontal="left" vertical="top" wrapText="1"/>
    </xf>
    <xf numFmtId="0" fontId="19" fillId="24" borderId="0" xfId="0" applyFont="1" applyFill="1" applyAlignment="1">
      <alignment horizontal="right" vertical="top"/>
    </xf>
    <xf numFmtId="0" fontId="19" fillId="24" borderId="0" xfId="0" applyFont="1" applyFill="1" applyAlignment="1">
      <alignment horizontal="center" vertical="top"/>
    </xf>
    <xf numFmtId="10" fontId="19" fillId="24" borderId="0" xfId="0" applyNumberFormat="1" applyFont="1" applyFill="1" applyBorder="1" applyAlignment="1">
      <alignment horizontal="center" vertical="top"/>
    </xf>
    <xf numFmtId="164" fontId="19" fillId="24" borderId="0" xfId="0" applyNumberFormat="1" applyFont="1" applyFill="1" applyAlignment="1">
      <alignment horizontal="left" vertical="top"/>
    </xf>
    <xf numFmtId="164" fontId="19" fillId="0" borderId="0" xfId="0" applyNumberFormat="1" applyFont="1" applyFill="1" applyBorder="1" applyAlignment="1">
      <alignment horizontal="right" vertical="top"/>
    </xf>
    <xf numFmtId="164" fontId="19" fillId="0" borderId="0" xfId="0" applyNumberFormat="1" applyFont="1" applyFill="1" applyAlignment="1">
      <alignment horizontal="center" vertical="top"/>
    </xf>
    <xf numFmtId="0" fontId="13" fillId="24" borderId="16" xfId="0" quotePrefix="1" applyFont="1" applyFill="1" applyBorder="1" applyAlignment="1">
      <alignment horizontal="left" indent="1"/>
    </xf>
    <xf numFmtId="0" fontId="13" fillId="24" borderId="10" xfId="0" applyFont="1" applyFill="1" applyBorder="1" applyAlignment="1">
      <alignment horizontal="center"/>
    </xf>
    <xf numFmtId="9" fontId="14" fillId="24" borderId="12" xfId="0" applyNumberFormat="1" applyFont="1" applyFill="1" applyBorder="1" applyAlignment="1">
      <alignment horizontal="center"/>
    </xf>
    <xf numFmtId="0" fontId="13" fillId="24" borderId="11" xfId="0" quotePrefix="1" applyFont="1" applyFill="1" applyBorder="1" applyAlignment="1">
      <alignment horizontal="left" indent="1"/>
    </xf>
    <xf numFmtId="0" fontId="40" fillId="24" borderId="0" xfId="0" applyFont="1" applyFill="1"/>
    <xf numFmtId="0" fontId="40" fillId="24" borderId="0" xfId="0" applyFont="1" applyFill="1" applyAlignment="1">
      <alignment horizontal="center"/>
    </xf>
    <xf numFmtId="0" fontId="43" fillId="24" borderId="0" xfId="0" applyFont="1" applyFill="1"/>
    <xf numFmtId="0" fontId="12" fillId="24" borderId="0" xfId="0" applyFont="1" applyFill="1"/>
    <xf numFmtId="0" fontId="13" fillId="24" borderId="19" xfId="0" applyFont="1" applyFill="1" applyBorder="1" applyAlignment="1">
      <alignment horizontal="left" indent="1"/>
    </xf>
    <xf numFmtId="0" fontId="13" fillId="24" borderId="20" xfId="0" applyFont="1" applyFill="1" applyBorder="1" applyAlignment="1">
      <alignment horizontal="center"/>
    </xf>
    <xf numFmtId="6" fontId="13" fillId="24" borderId="39" xfId="0" applyNumberFormat="1" applyFont="1" applyFill="1" applyBorder="1" applyAlignment="1">
      <alignment horizontal="center"/>
    </xf>
    <xf numFmtId="0" fontId="13" fillId="24" borderId="12" xfId="0" applyNumberFormat="1" applyFont="1" applyFill="1" applyBorder="1" applyAlignment="1">
      <alignment horizontal="center"/>
    </xf>
    <xf numFmtId="6" fontId="7" fillId="24" borderId="0" xfId="0" applyNumberFormat="1" applyFont="1" applyFill="1" applyBorder="1" applyAlignment="1">
      <alignment horizontal="center"/>
    </xf>
    <xf numFmtId="6" fontId="15" fillId="24" borderId="0" xfId="0" applyNumberFormat="1" applyFont="1" applyFill="1" applyBorder="1" applyAlignment="1">
      <alignment horizontal="center"/>
    </xf>
    <xf numFmtId="165" fontId="13" fillId="24" borderId="12" xfId="0" applyNumberFormat="1" applyFont="1" applyFill="1" applyBorder="1" applyAlignment="1">
      <alignment horizontal="center"/>
    </xf>
    <xf numFmtId="6" fontId="8" fillId="24" borderId="0" xfId="0" applyNumberFormat="1" applyFont="1" applyFill="1" applyBorder="1"/>
    <xf numFmtId="6" fontId="8" fillId="24" borderId="33" xfId="0" applyNumberFormat="1" applyFont="1" applyFill="1" applyBorder="1"/>
    <xf numFmtId="6" fontId="8" fillId="24" borderId="42" xfId="0" applyNumberFormat="1" applyFont="1" applyFill="1" applyBorder="1"/>
    <xf numFmtId="0" fontId="8" fillId="24" borderId="22" xfId="39" applyFont="1" applyFill="1" applyBorder="1" applyAlignment="1" applyProtection="1">
      <alignment horizontal="center"/>
    </xf>
    <xf numFmtId="167" fontId="7" fillId="24" borderId="22" xfId="39" applyNumberFormat="1" applyFont="1" applyFill="1" applyBorder="1" applyProtection="1"/>
    <xf numFmtId="0" fontId="15" fillId="24" borderId="0" xfId="0" applyFont="1" applyFill="1" applyBorder="1" applyAlignment="1">
      <alignment horizontal="left" wrapText="1"/>
    </xf>
    <xf numFmtId="0" fontId="0" fillId="24" borderId="0" xfId="0" applyFill="1" applyBorder="1" applyAlignment="1">
      <alignment wrapText="1"/>
    </xf>
    <xf numFmtId="0" fontId="40" fillId="24" borderId="11" xfId="0" applyFont="1" applyFill="1" applyBorder="1"/>
    <xf numFmtId="0" fontId="40" fillId="24" borderId="13" xfId="0" applyFont="1" applyFill="1" applyBorder="1"/>
    <xf numFmtId="0" fontId="46" fillId="28" borderId="19" xfId="0" applyFont="1" applyFill="1" applyBorder="1"/>
    <xf numFmtId="0" fontId="47" fillId="24" borderId="55" xfId="0" applyNumberFormat="1" applyFont="1" applyFill="1" applyBorder="1" applyAlignment="1">
      <alignment horizontal="center" vertical="center"/>
    </xf>
    <xf numFmtId="0" fontId="0" fillId="24" borderId="0" xfId="0" applyFill="1" applyBorder="1" applyAlignment="1">
      <alignment horizontal="center"/>
    </xf>
    <xf numFmtId="0" fontId="0" fillId="24" borderId="14" xfId="0" applyFill="1" applyBorder="1" applyAlignment="1">
      <alignment horizontal="center"/>
    </xf>
    <xf numFmtId="0" fontId="47" fillId="24" borderId="56" xfId="0" applyNumberFormat="1" applyFont="1" applyFill="1" applyBorder="1" applyAlignment="1">
      <alignment horizontal="center" vertical="center"/>
    </xf>
    <xf numFmtId="0" fontId="0" fillId="28" borderId="20" xfId="0" applyFill="1" applyBorder="1" applyAlignment="1">
      <alignment horizontal="center"/>
    </xf>
    <xf numFmtId="0" fontId="46" fillId="28" borderId="57" xfId="0" applyFont="1" applyFill="1" applyBorder="1" applyAlignment="1">
      <alignment horizontal="center"/>
    </xf>
    <xf numFmtId="6" fontId="7" fillId="24" borderId="0" xfId="0" applyNumberFormat="1" applyFont="1" applyFill="1" applyBorder="1" applyAlignment="1">
      <alignment horizontal="center" vertical="top"/>
    </xf>
    <xf numFmtId="0" fontId="12" fillId="24" borderId="0" xfId="0" applyFont="1" applyFill="1" applyAlignment="1">
      <alignment horizontal="left" vertical="top"/>
    </xf>
    <xf numFmtId="0" fontId="12" fillId="24" borderId="0" xfId="0" applyFont="1" applyFill="1" applyAlignment="1">
      <alignment horizontal="center"/>
    </xf>
    <xf numFmtId="6" fontId="13" fillId="24" borderId="0" xfId="0" applyNumberFormat="1" applyFont="1" applyFill="1"/>
    <xf numFmtId="10" fontId="13" fillId="24" borderId="0" xfId="0" applyNumberFormat="1" applyFont="1" applyFill="1"/>
    <xf numFmtId="164" fontId="8" fillId="0" borderId="0" xfId="0" applyNumberFormat="1" applyFont="1" applyFill="1" applyBorder="1" applyAlignment="1">
      <alignment horizontal="center"/>
    </xf>
    <xf numFmtId="164" fontId="13" fillId="24" borderId="48" xfId="0" applyNumberFormat="1" applyFont="1" applyFill="1" applyBorder="1" applyAlignment="1">
      <alignment horizontal="center"/>
    </xf>
    <xf numFmtId="0" fontId="13" fillId="24" borderId="48" xfId="0" applyFont="1" applyFill="1" applyBorder="1" applyAlignment="1">
      <alignment horizontal="center"/>
    </xf>
    <xf numFmtId="6" fontId="13" fillId="24" borderId="48" xfId="0" applyNumberFormat="1" applyFont="1" applyFill="1" applyBorder="1" applyAlignment="1">
      <alignment horizontal="center"/>
    </xf>
    <xf numFmtId="10" fontId="13" fillId="24" borderId="48" xfId="0" applyNumberFormat="1" applyFont="1" applyFill="1" applyBorder="1" applyAlignment="1">
      <alignment horizontal="center"/>
    </xf>
    <xf numFmtId="164" fontId="13" fillId="24" borderId="48" xfId="28" applyNumberFormat="1" applyFont="1" applyFill="1" applyBorder="1" applyAlignment="1">
      <alignment horizontal="center"/>
    </xf>
    <xf numFmtId="164" fontId="13" fillId="24" borderId="48" xfId="28" applyNumberFormat="1" applyFont="1" applyFill="1" applyBorder="1" applyAlignment="1">
      <alignment horizontal="center" vertical="top" wrapText="1"/>
    </xf>
    <xf numFmtId="0" fontId="13" fillId="24" borderId="50" xfId="0" applyFont="1" applyFill="1" applyBorder="1" applyAlignment="1">
      <alignment horizontal="center"/>
    </xf>
    <xf numFmtId="10" fontId="13" fillId="24" borderId="50" xfId="0" applyNumberFormat="1" applyFont="1" applyFill="1" applyBorder="1" applyAlignment="1">
      <alignment horizontal="center"/>
    </xf>
    <xf numFmtId="0" fontId="13" fillId="26" borderId="26" xfId="0" applyFont="1" applyFill="1" applyBorder="1" applyAlignment="1">
      <alignment horizontal="center"/>
    </xf>
    <xf numFmtId="164" fontId="13" fillId="24" borderId="58" xfId="28" applyNumberFormat="1" applyFont="1" applyFill="1" applyBorder="1" applyAlignment="1">
      <alignment horizontal="center"/>
    </xf>
    <xf numFmtId="0" fontId="13" fillId="24" borderId="59" xfId="0" applyFont="1" applyFill="1" applyBorder="1" applyAlignment="1">
      <alignment horizontal="center"/>
    </xf>
    <xf numFmtId="0" fontId="13" fillId="26" borderId="19" xfId="0" applyFont="1" applyFill="1" applyBorder="1" applyAlignment="1">
      <alignment horizontal="center"/>
    </xf>
    <xf numFmtId="0" fontId="12" fillId="26" borderId="60" xfId="0" applyFont="1" applyFill="1" applyBorder="1" applyAlignment="1">
      <alignment horizontal="center"/>
    </xf>
    <xf numFmtId="0" fontId="12" fillId="26" borderId="61" xfId="0" applyFont="1" applyFill="1" applyBorder="1" applyAlignment="1">
      <alignment horizontal="center"/>
    </xf>
    <xf numFmtId="0" fontId="12" fillId="24" borderId="0" xfId="0" applyFont="1" applyFill="1" applyBorder="1" applyAlignment="1">
      <alignment horizontal="center"/>
    </xf>
    <xf numFmtId="10" fontId="15" fillId="24" borderId="0" xfId="42" applyNumberFormat="1" applyFont="1" applyFill="1" applyBorder="1" applyAlignment="1">
      <alignment horizontal="center"/>
    </xf>
    <xf numFmtId="0" fontId="13" fillId="24" borderId="0" xfId="0" applyFont="1" applyFill="1" applyBorder="1"/>
    <xf numFmtId="0" fontId="12" fillId="26" borderId="24" xfId="0" applyFont="1" applyFill="1" applyBorder="1" applyAlignment="1">
      <alignment horizontal="center"/>
    </xf>
    <xf numFmtId="0" fontId="12" fillId="26" borderId="25" xfId="0" applyFont="1" applyFill="1" applyBorder="1" applyAlignment="1">
      <alignment horizontal="center"/>
    </xf>
    <xf numFmtId="0" fontId="12" fillId="26" borderId="20" xfId="0" applyFont="1" applyFill="1" applyBorder="1" applyAlignment="1">
      <alignment horizontal="center"/>
    </xf>
    <xf numFmtId="0" fontId="12" fillId="26" borderId="39" xfId="0" applyFont="1" applyFill="1" applyBorder="1" applyAlignment="1">
      <alignment horizontal="center"/>
    </xf>
    <xf numFmtId="0" fontId="13" fillId="24" borderId="46" xfId="0" applyFont="1" applyFill="1" applyBorder="1" applyAlignment="1">
      <alignment horizontal="left"/>
    </xf>
    <xf numFmtId="164" fontId="13" fillId="24" borderId="59" xfId="0" applyNumberFormat="1" applyFont="1" applyFill="1" applyBorder="1" applyAlignment="1">
      <alignment horizontal="center"/>
    </xf>
    <xf numFmtId="10" fontId="13" fillId="24" borderId="0" xfId="42" applyNumberFormat="1" applyFont="1" applyFill="1"/>
    <xf numFmtId="10" fontId="19" fillId="26" borderId="0" xfId="0" applyNumberFormat="1" applyFont="1" applyFill="1" applyBorder="1" applyAlignment="1">
      <alignment horizontal="left" vertical="top"/>
    </xf>
    <xf numFmtId="0" fontId="19" fillId="26" borderId="11" xfId="0" applyFont="1" applyFill="1" applyBorder="1" applyAlignment="1">
      <alignment horizontal="left" vertical="top" wrapText="1" indent="2"/>
    </xf>
    <xf numFmtId="0" fontId="7" fillId="24" borderId="0" xfId="0" applyFont="1" applyFill="1" applyBorder="1" applyAlignment="1">
      <alignment horizontal="left" indent="1"/>
    </xf>
    <xf numFmtId="0" fontId="8" fillId="24" borderId="0" xfId="0" applyFont="1" applyFill="1" applyBorder="1" applyAlignment="1">
      <alignment horizontal="center"/>
    </xf>
    <xf numFmtId="165" fontId="9" fillId="24" borderId="0" xfId="0" applyNumberFormat="1" applyFont="1" applyFill="1" applyBorder="1"/>
    <xf numFmtId="10" fontId="21" fillId="24" borderId="0" xfId="0" applyNumberFormat="1" applyFont="1" applyFill="1" applyBorder="1" applyAlignment="1">
      <alignment horizontal="center" vertical="top"/>
    </xf>
    <xf numFmtId="0" fontId="20" fillId="25" borderId="57" xfId="0" applyFont="1" applyFill="1" applyBorder="1"/>
    <xf numFmtId="6" fontId="19" fillId="24" borderId="0" xfId="0" applyNumberFormat="1" applyFont="1" applyFill="1" applyBorder="1" applyAlignment="1">
      <alignment horizontal="left"/>
    </xf>
    <xf numFmtId="10" fontId="19" fillId="26" borderId="0" xfId="0" applyNumberFormat="1" applyFont="1" applyFill="1" applyBorder="1" applyAlignment="1">
      <alignment horizontal="left"/>
    </xf>
    <xf numFmtId="0" fontId="19" fillId="24" borderId="26" xfId="0" applyFont="1" applyFill="1" applyBorder="1" applyAlignment="1">
      <alignment horizontal="left" indent="1"/>
    </xf>
    <xf numFmtId="10" fontId="19" fillId="26" borderId="27" xfId="0" applyNumberFormat="1" applyFont="1" applyFill="1" applyBorder="1" applyAlignment="1">
      <alignment horizontal="left" vertical="top"/>
    </xf>
    <xf numFmtId="164" fontId="9" fillId="24" borderId="27" xfId="0" applyNumberFormat="1" applyFont="1" applyFill="1" applyBorder="1" applyAlignment="1">
      <alignment horizontal="left" vertical="top"/>
    </xf>
    <xf numFmtId="0" fontId="19" fillId="24" borderId="27" xfId="0" applyFont="1" applyFill="1" applyBorder="1" applyAlignment="1">
      <alignment vertical="top"/>
    </xf>
    <xf numFmtId="164" fontId="8" fillId="24" borderId="26" xfId="0" applyNumberFormat="1" applyFont="1" applyFill="1" applyBorder="1" applyAlignment="1">
      <alignment horizontal="left" vertical="top" indent="1"/>
    </xf>
    <xf numFmtId="164" fontId="7" fillId="24" borderId="27" xfId="0" applyNumberFormat="1" applyFont="1" applyFill="1" applyBorder="1" applyAlignment="1">
      <alignment horizontal="left" vertical="top"/>
    </xf>
    <xf numFmtId="0" fontId="19" fillId="24" borderId="28" xfId="0" applyFont="1" applyFill="1" applyBorder="1" applyAlignment="1">
      <alignment vertical="top"/>
    </xf>
    <xf numFmtId="0" fontId="19" fillId="25" borderId="57" xfId="0" applyFont="1" applyFill="1" applyBorder="1" applyAlignment="1">
      <alignment vertical="top"/>
    </xf>
    <xf numFmtId="164" fontId="49" fillId="25" borderId="57" xfId="0" applyNumberFormat="1" applyFont="1" applyFill="1" applyBorder="1" applyAlignment="1">
      <alignment horizontal="left" vertical="top"/>
    </xf>
    <xf numFmtId="164" fontId="13" fillId="24" borderId="28" xfId="0" applyNumberFormat="1" applyFont="1" applyFill="1" applyBorder="1" applyAlignment="1">
      <alignment horizontal="left" vertical="top" indent="1"/>
    </xf>
    <xf numFmtId="165" fontId="14" fillId="24" borderId="0" xfId="0" applyNumberFormat="1" applyFont="1" applyFill="1" applyAlignment="1">
      <alignment horizontal="center" vertical="top"/>
    </xf>
    <xf numFmtId="9" fontId="7" fillId="24" borderId="0" xfId="42" applyFont="1" applyFill="1" applyBorder="1"/>
    <xf numFmtId="0" fontId="7" fillId="24" borderId="0" xfId="0" applyFont="1" applyFill="1" applyBorder="1" applyAlignment="1">
      <alignment horizontal="center"/>
    </xf>
    <xf numFmtId="0" fontId="7" fillId="24" borderId="11" xfId="0" quotePrefix="1" applyFont="1" applyFill="1" applyBorder="1" applyAlignment="1">
      <alignment vertical="top"/>
    </xf>
    <xf numFmtId="0" fontId="19" fillId="24" borderId="0" xfId="0" applyFont="1" applyFill="1" applyAlignment="1">
      <alignment vertical="center"/>
    </xf>
    <xf numFmtId="0" fontId="0" fillId="0" borderId="10" xfId="0" applyBorder="1" applyAlignment="1">
      <alignment vertical="top"/>
    </xf>
    <xf numFmtId="0" fontId="7" fillId="24" borderId="0" xfId="0" applyFont="1" applyFill="1" applyBorder="1" applyAlignment="1">
      <alignment vertical="center"/>
    </xf>
    <xf numFmtId="0" fontId="48" fillId="24" borderId="0" xfId="0" applyFont="1" applyFill="1" applyAlignment="1">
      <alignment vertical="center"/>
    </xf>
    <xf numFmtId="0" fontId="8" fillId="24" borderId="10" xfId="0" applyFont="1" applyFill="1" applyBorder="1" applyAlignment="1">
      <alignment horizontal="left" vertical="top" indent="1"/>
    </xf>
    <xf numFmtId="0" fontId="0" fillId="29" borderId="0" xfId="0" applyFont="1" applyFill="1" applyBorder="1"/>
    <xf numFmtId="0" fontId="0" fillId="0" borderId="0" xfId="0" applyFont="1" applyBorder="1"/>
    <xf numFmtId="0" fontId="18" fillId="29" borderId="0" xfId="0" applyFont="1" applyFill="1" applyBorder="1" applyAlignment="1">
      <alignment horizontal="center" vertical="top" wrapText="1"/>
    </xf>
    <xf numFmtId="0" fontId="0" fillId="29" borderId="0" xfId="0" applyFont="1" applyFill="1" applyBorder="1" applyAlignment="1">
      <alignment horizontal="center" vertical="top"/>
    </xf>
    <xf numFmtId="164" fontId="19" fillId="29" borderId="0" xfId="0" applyNumberFormat="1" applyFont="1" applyFill="1" applyBorder="1" applyAlignment="1">
      <alignment horizontal="center" vertical="top"/>
    </xf>
    <xf numFmtId="164" fontId="19" fillId="29" borderId="0" xfId="0" applyNumberFormat="1" applyFont="1" applyFill="1" applyBorder="1" applyAlignment="1">
      <alignment horizontal="left"/>
    </xf>
    <xf numFmtId="164" fontId="20" fillId="29" borderId="0" xfId="0" applyNumberFormat="1" applyFont="1" applyFill="1" applyBorder="1" applyAlignment="1">
      <alignment horizontal="center" vertical="top"/>
    </xf>
    <xf numFmtId="164" fontId="39" fillId="29" borderId="0" xfId="0" applyNumberFormat="1" applyFont="1" applyFill="1" applyBorder="1" applyAlignment="1">
      <alignment horizontal="left" vertical="top"/>
    </xf>
    <xf numFmtId="164" fontId="19" fillId="29" borderId="0" xfId="0" applyNumberFormat="1" applyFont="1" applyFill="1" applyBorder="1" applyAlignment="1">
      <alignment vertical="top"/>
    </xf>
    <xf numFmtId="3" fontId="21" fillId="29" borderId="0" xfId="0" applyNumberFormat="1" applyFont="1" applyFill="1" applyBorder="1" applyAlignment="1">
      <alignment horizontal="left" vertical="top"/>
    </xf>
    <xf numFmtId="9" fontId="19" fillId="29" borderId="0" xfId="0" applyNumberFormat="1" applyFont="1" applyFill="1" applyBorder="1" applyAlignment="1">
      <alignment vertical="top"/>
    </xf>
    <xf numFmtId="167" fontId="19" fillId="29" borderId="0" xfId="0" applyNumberFormat="1" applyFont="1" applyFill="1" applyBorder="1" applyAlignment="1">
      <alignment vertical="top"/>
    </xf>
    <xf numFmtId="164" fontId="19" fillId="29" borderId="0" xfId="0" applyNumberFormat="1" applyFont="1" applyFill="1" applyBorder="1" applyAlignment="1">
      <alignment horizontal="left" vertical="top"/>
    </xf>
    <xf numFmtId="0" fontId="19" fillId="29" borderId="0" xfId="0" applyFont="1" applyFill="1" applyBorder="1" applyAlignment="1">
      <alignment vertical="top"/>
    </xf>
    <xf numFmtId="4" fontId="19" fillId="29" borderId="0" xfId="0" applyNumberFormat="1" applyFont="1" applyFill="1" applyBorder="1" applyAlignment="1">
      <alignment horizontal="center" vertical="top"/>
    </xf>
    <xf numFmtId="10" fontId="21" fillId="29" borderId="0" xfId="0" applyNumberFormat="1" applyFont="1" applyFill="1" applyBorder="1" applyAlignment="1">
      <alignment horizontal="center" vertical="top"/>
    </xf>
    <xf numFmtId="164" fontId="21" fillId="29" borderId="0" xfId="0" applyNumberFormat="1" applyFont="1" applyFill="1" applyBorder="1" applyAlignment="1">
      <alignment horizontal="center" vertical="top"/>
    </xf>
    <xf numFmtId="10" fontId="19" fillId="29" borderId="0" xfId="0" applyNumberFormat="1" applyFont="1" applyFill="1" applyBorder="1" applyAlignment="1">
      <alignment horizontal="center" vertical="top"/>
    </xf>
    <xf numFmtId="10" fontId="20" fillId="29" borderId="0" xfId="0" applyNumberFormat="1" applyFont="1" applyFill="1" applyBorder="1" applyAlignment="1">
      <alignment horizontal="center" vertical="top"/>
    </xf>
    <xf numFmtId="10" fontId="39" fillId="29" borderId="0" xfId="0" applyNumberFormat="1" applyFont="1" applyFill="1" applyBorder="1" applyAlignment="1">
      <alignment horizontal="center" vertical="top"/>
    </xf>
    <xf numFmtId="164" fontId="21" fillId="29" borderId="0" xfId="0" applyNumberFormat="1" applyFont="1" applyFill="1" applyBorder="1" applyAlignment="1">
      <alignment horizontal="left" vertical="top"/>
    </xf>
    <xf numFmtId="0" fontId="19" fillId="29" borderId="0" xfId="0" applyFont="1" applyFill="1" applyBorder="1"/>
    <xf numFmtId="0" fontId="0" fillId="24" borderId="0" xfId="0" applyFont="1" applyFill="1" applyBorder="1"/>
    <xf numFmtId="0" fontId="51" fillId="29" borderId="0" xfId="0" applyFont="1" applyFill="1" applyBorder="1" applyAlignment="1">
      <alignment horizontal="center" vertical="top"/>
    </xf>
    <xf numFmtId="0" fontId="20" fillId="29" borderId="0" xfId="0" applyFont="1" applyFill="1" applyBorder="1" applyAlignment="1">
      <alignment horizontal="left"/>
    </xf>
    <xf numFmtId="0" fontId="19" fillId="29" borderId="0" xfId="0" applyFont="1" applyFill="1" applyBorder="1" applyAlignment="1">
      <alignment horizontal="center" vertical="top"/>
    </xf>
    <xf numFmtId="164" fontId="19" fillId="29" borderId="0" xfId="0" applyNumberFormat="1" applyFont="1" applyFill="1" applyBorder="1" applyAlignment="1">
      <alignment horizontal="center"/>
    </xf>
    <xf numFmtId="9" fontId="21" fillId="29" borderId="0" xfId="0" applyNumberFormat="1" applyFont="1" applyFill="1" applyBorder="1" applyAlignment="1">
      <alignment horizontal="center"/>
    </xf>
    <xf numFmtId="165" fontId="19" fillId="29" borderId="0" xfId="0" applyNumberFormat="1" applyFont="1" applyFill="1" applyBorder="1" applyAlignment="1">
      <alignment horizontal="center"/>
    </xf>
    <xf numFmtId="165" fontId="21" fillId="29" borderId="0" xfId="0" applyNumberFormat="1" applyFont="1" applyFill="1" applyBorder="1"/>
    <xf numFmtId="164" fontId="19" fillId="29" borderId="0" xfId="0" applyNumberFormat="1" applyFont="1" applyFill="1" applyBorder="1"/>
    <xf numFmtId="3" fontId="19" fillId="29" borderId="0" xfId="0" applyNumberFormat="1" applyFont="1" applyFill="1" applyBorder="1"/>
    <xf numFmtId="6" fontId="19" fillId="29" borderId="0" xfId="0" applyNumberFormat="1" applyFont="1" applyFill="1" applyBorder="1"/>
    <xf numFmtId="6" fontId="20" fillId="29" borderId="0" xfId="0" applyNumberFormat="1" applyFont="1" applyFill="1" applyBorder="1"/>
    <xf numFmtId="167" fontId="19" fillId="29" borderId="0" xfId="0" applyNumberFormat="1" applyFont="1" applyFill="1" applyBorder="1"/>
    <xf numFmtId="167" fontId="20" fillId="29" borderId="0" xfId="0" applyNumberFormat="1" applyFont="1" applyFill="1" applyBorder="1"/>
    <xf numFmtId="10" fontId="19" fillId="29" borderId="0" xfId="0" applyNumberFormat="1" applyFont="1" applyFill="1" applyBorder="1"/>
    <xf numFmtId="9" fontId="19" fillId="29" borderId="0" xfId="0" applyNumberFormat="1" applyFont="1" applyFill="1" applyBorder="1"/>
    <xf numFmtId="0" fontId="19" fillId="0" borderId="0" xfId="0" applyFont="1" applyBorder="1"/>
    <xf numFmtId="0" fontId="19" fillId="29" borderId="0" xfId="0" applyFont="1" applyFill="1" applyBorder="1" applyAlignment="1">
      <alignment horizontal="center"/>
    </xf>
    <xf numFmtId="0" fontId="19" fillId="0" borderId="0" xfId="0" applyFont="1" applyBorder="1" applyAlignment="1">
      <alignment horizontal="center"/>
    </xf>
    <xf numFmtId="0" fontId="52" fillId="29" borderId="0" xfId="0" applyFont="1" applyFill="1" applyBorder="1" applyAlignment="1">
      <alignment vertical="top"/>
    </xf>
    <xf numFmtId="164" fontId="53" fillId="29" borderId="0" xfId="0" applyNumberFormat="1" applyFont="1" applyFill="1" applyBorder="1" applyAlignment="1">
      <alignment horizontal="center" vertical="top"/>
    </xf>
    <xf numFmtId="0" fontId="52" fillId="29" borderId="0" xfId="0" applyFont="1" applyFill="1" applyBorder="1" applyAlignment="1">
      <alignment horizontal="center" vertical="top"/>
    </xf>
    <xf numFmtId="164" fontId="18" fillId="29" borderId="0" xfId="0" applyNumberFormat="1" applyFont="1" applyFill="1" applyBorder="1" applyAlignment="1">
      <alignment horizontal="center" vertical="top"/>
    </xf>
    <xf numFmtId="10" fontId="18" fillId="29" borderId="0" xfId="0" applyNumberFormat="1" applyFont="1" applyFill="1" applyBorder="1" applyAlignment="1">
      <alignment horizontal="center" vertical="top"/>
    </xf>
    <xf numFmtId="10" fontId="53" fillId="29" borderId="0" xfId="0" applyNumberFormat="1" applyFont="1" applyFill="1" applyBorder="1" applyAlignment="1">
      <alignment horizontal="center" vertical="top"/>
    </xf>
    <xf numFmtId="10" fontId="19" fillId="29" borderId="0" xfId="0" applyNumberFormat="1" applyFont="1" applyFill="1" applyBorder="1" applyAlignment="1">
      <alignment horizontal="left" vertical="top"/>
    </xf>
    <xf numFmtId="10" fontId="18" fillId="29" borderId="0" xfId="0" applyNumberFormat="1" applyFont="1" applyFill="1" applyBorder="1" applyAlignment="1">
      <alignment horizontal="left" vertical="top"/>
    </xf>
    <xf numFmtId="167" fontId="53" fillId="29" borderId="0" xfId="0" applyNumberFormat="1" applyFont="1" applyFill="1" applyBorder="1" applyAlignment="1">
      <alignment horizontal="center" vertical="top"/>
    </xf>
    <xf numFmtId="0" fontId="18" fillId="29" borderId="0" xfId="0" applyFont="1" applyFill="1" applyBorder="1" applyAlignment="1">
      <alignment vertical="top"/>
    </xf>
    <xf numFmtId="0" fontId="18" fillId="29" borderId="0" xfId="0" applyFont="1" applyFill="1" applyBorder="1" applyAlignment="1">
      <alignment horizontal="center" vertical="top"/>
    </xf>
    <xf numFmtId="6" fontId="13" fillId="24" borderId="0" xfId="0" applyNumberFormat="1" applyFont="1" applyFill="1" applyAlignment="1">
      <alignment horizontal="center" vertical="top"/>
    </xf>
    <xf numFmtId="0" fontId="18" fillId="29" borderId="26" xfId="0" applyFont="1" applyFill="1" applyBorder="1" applyAlignment="1">
      <alignment horizontal="left" vertical="top" indent="1"/>
    </xf>
    <xf numFmtId="0" fontId="19" fillId="29" borderId="0" xfId="0" applyFont="1" applyFill="1" applyBorder="1" applyAlignment="1">
      <alignment vertical="top" wrapText="1"/>
    </xf>
    <xf numFmtId="0" fontId="50" fillId="29" borderId="0" xfId="0" applyFont="1" applyFill="1" applyBorder="1" applyAlignment="1">
      <alignment horizontal="left" indent="1"/>
    </xf>
    <xf numFmtId="0" fontId="0" fillId="29" borderId="0" xfId="0" applyFont="1" applyFill="1" applyBorder="1" applyAlignment="1">
      <alignment horizontal="center"/>
    </xf>
    <xf numFmtId="6" fontId="18" fillId="29" borderId="0" xfId="0" applyNumberFormat="1" applyFont="1" applyFill="1" applyBorder="1" applyAlignment="1">
      <alignment horizontal="center" vertical="top" wrapText="1"/>
    </xf>
    <xf numFmtId="0" fontId="54" fillId="29" borderId="0" xfId="0" applyFont="1" applyFill="1" applyBorder="1" applyAlignment="1">
      <alignment horizontal="center"/>
    </xf>
    <xf numFmtId="0" fontId="18" fillId="29" borderId="62" xfId="0" applyFont="1" applyFill="1" applyBorder="1" applyAlignment="1">
      <alignment horizontal="center" vertical="top" wrapText="1"/>
    </xf>
    <xf numFmtId="0" fontId="18" fillId="29" borderId="0" xfId="0" applyFont="1" applyFill="1" applyBorder="1" applyAlignment="1">
      <alignment horizontal="left" vertical="top"/>
    </xf>
    <xf numFmtId="10" fontId="18" fillId="29" borderId="0" xfId="0" applyNumberFormat="1" applyFont="1" applyFill="1" applyBorder="1" applyAlignment="1">
      <alignment horizontal="center" vertical="top" wrapText="1"/>
    </xf>
    <xf numFmtId="0" fontId="51" fillId="30" borderId="0" xfId="0" applyFont="1" applyFill="1" applyBorder="1" applyAlignment="1">
      <alignment horizontal="center" vertical="top"/>
    </xf>
    <xf numFmtId="0" fontId="19" fillId="0" borderId="0" xfId="39" applyFont="1" applyBorder="1" applyProtection="1"/>
    <xf numFmtId="0" fontId="20" fillId="0" borderId="0" xfId="0" applyFont="1" applyBorder="1" applyAlignment="1">
      <alignment horizontal="center"/>
    </xf>
    <xf numFmtId="164" fontId="19" fillId="0" borderId="0" xfId="0" applyNumberFormat="1" applyFont="1" applyBorder="1"/>
    <xf numFmtId="3" fontId="19" fillId="0" borderId="0" xfId="0" applyNumberFormat="1" applyFont="1" applyBorder="1"/>
    <xf numFmtId="0" fontId="0" fillId="0" borderId="0" xfId="0" applyFont="1" applyBorder="1" applyAlignment="1">
      <alignment horizontal="right"/>
    </xf>
    <xf numFmtId="8" fontId="0" fillId="0" borderId="0" xfId="0" applyNumberFormat="1" applyFont="1" applyBorder="1"/>
    <xf numFmtId="0" fontId="20" fillId="0" borderId="0" xfId="0" applyFont="1" applyBorder="1"/>
    <xf numFmtId="169" fontId="19" fillId="0" borderId="0" xfId="0" applyNumberFormat="1" applyFont="1" applyBorder="1"/>
    <xf numFmtId="4" fontId="0" fillId="0" borderId="0" xfId="0" applyNumberFormat="1" applyFont="1" applyBorder="1"/>
    <xf numFmtId="0" fontId="4" fillId="0" borderId="0" xfId="39" applyFont="1" applyBorder="1" applyProtection="1"/>
    <xf numFmtId="0" fontId="4" fillId="0" borderId="0" xfId="39" applyFont="1" applyBorder="1" applyAlignment="1" applyProtection="1">
      <alignment horizontal="right" indent="1"/>
    </xf>
    <xf numFmtId="8" fontId="4" fillId="0" borderId="0" xfId="39" applyNumberFormat="1" applyFont="1" applyFill="1" applyBorder="1" applyProtection="1"/>
    <xf numFmtId="0" fontId="7" fillId="0" borderId="0" xfId="39" applyFont="1" applyBorder="1" applyProtection="1"/>
    <xf numFmtId="0" fontId="8" fillId="26" borderId="0" xfId="39" applyFont="1" applyFill="1" applyBorder="1" applyProtection="1"/>
    <xf numFmtId="0" fontId="8" fillId="26" borderId="0" xfId="39" applyFont="1" applyFill="1" applyBorder="1" applyAlignment="1" applyProtection="1">
      <alignment horizontal="center"/>
    </xf>
    <xf numFmtId="0" fontId="20" fillId="26" borderId="0" xfId="39" applyFont="1" applyFill="1" applyBorder="1" applyAlignment="1" applyProtection="1">
      <alignment horizontal="center"/>
    </xf>
    <xf numFmtId="0" fontId="7" fillId="0" borderId="0" xfId="39" applyFont="1" applyBorder="1" applyAlignment="1" applyProtection="1">
      <alignment horizontal="center"/>
    </xf>
    <xf numFmtId="0" fontId="8" fillId="0" borderId="0" xfId="39" applyFont="1" applyBorder="1" applyAlignment="1" applyProtection="1">
      <alignment horizontal="center"/>
    </xf>
    <xf numFmtId="0" fontId="8" fillId="0" borderId="0" xfId="39" applyFont="1" applyBorder="1" applyProtection="1"/>
    <xf numFmtId="164" fontId="7" fillId="0" borderId="0" xfId="39" applyNumberFormat="1" applyFont="1" applyBorder="1" applyAlignment="1" applyProtection="1"/>
    <xf numFmtId="0" fontId="7" fillId="0" borderId="0" xfId="39" applyFont="1" applyBorder="1" applyAlignment="1" applyProtection="1"/>
    <xf numFmtId="3" fontId="7" fillId="0" borderId="0" xfId="39" applyNumberFormat="1" applyFont="1" applyBorder="1" applyAlignment="1" applyProtection="1"/>
    <xf numFmtId="3" fontId="7" fillId="0" borderId="0" xfId="39" applyNumberFormat="1" applyFont="1" applyBorder="1" applyProtection="1"/>
    <xf numFmtId="0" fontId="7" fillId="0" borderId="0" xfId="39" applyFont="1" applyBorder="1" applyAlignment="1" applyProtection="1">
      <alignment vertical="top"/>
    </xf>
    <xf numFmtId="0" fontId="8" fillId="31" borderId="0" xfId="39" applyFont="1" applyFill="1" applyBorder="1" applyAlignment="1" applyProtection="1">
      <alignment horizontal="center" vertical="top" wrapText="1"/>
    </xf>
    <xf numFmtId="0" fontId="8" fillId="31" borderId="0" xfId="39" applyFont="1" applyFill="1" applyBorder="1" applyAlignment="1" applyProtection="1">
      <alignment horizontal="right" vertical="top" wrapText="1"/>
    </xf>
    <xf numFmtId="0" fontId="8" fillId="31" borderId="0" xfId="39" applyFont="1" applyFill="1" applyBorder="1" applyAlignment="1" applyProtection="1">
      <alignment horizontal="right" vertical="top"/>
    </xf>
    <xf numFmtId="0" fontId="7" fillId="32" borderId="0" xfId="39" applyFont="1" applyFill="1" applyBorder="1" applyAlignment="1" applyProtection="1">
      <alignment horizontal="center"/>
    </xf>
    <xf numFmtId="44" fontId="7" fillId="32" borderId="0" xfId="28" quotePrefix="1" applyFont="1" applyFill="1" applyBorder="1" applyAlignment="1" applyProtection="1">
      <alignment horizontal="center"/>
    </xf>
    <xf numFmtId="44" fontId="4" fillId="32" borderId="0" xfId="28" quotePrefix="1" applyFont="1" applyFill="1" applyBorder="1" applyAlignment="1" applyProtection="1">
      <alignment horizontal="center"/>
    </xf>
    <xf numFmtId="44" fontId="7" fillId="32" borderId="0" xfId="39" applyNumberFormat="1" applyFont="1" applyFill="1" applyBorder="1" applyProtection="1"/>
    <xf numFmtId="169" fontId="19" fillId="0" borderId="0" xfId="39" applyNumberFormat="1" applyFont="1" applyBorder="1" applyProtection="1"/>
    <xf numFmtId="4" fontId="7" fillId="0" borderId="0" xfId="39" applyNumberFormat="1" applyFont="1" applyBorder="1" applyAlignment="1" applyProtection="1">
      <alignment horizontal="right"/>
    </xf>
    <xf numFmtId="0" fontId="19" fillId="0" borderId="0" xfId="39" quotePrefix="1" applyFont="1" applyBorder="1" applyProtection="1"/>
    <xf numFmtId="0" fontId="7" fillId="31" borderId="0" xfId="39" applyFont="1" applyFill="1" applyBorder="1" applyAlignment="1" applyProtection="1">
      <alignment horizontal="center"/>
    </xf>
    <xf numFmtId="4" fontId="7" fillId="31" borderId="0" xfId="39" applyNumberFormat="1" applyFont="1" applyFill="1" applyBorder="1" applyAlignment="1" applyProtection="1">
      <alignment horizontal="right"/>
    </xf>
    <xf numFmtId="4" fontId="8" fillId="0" borderId="0" xfId="39" applyNumberFormat="1" applyFont="1" applyBorder="1" applyAlignment="1" applyProtection="1">
      <alignment horizontal="right"/>
    </xf>
    <xf numFmtId="4" fontId="7" fillId="26" borderId="0" xfId="39" applyNumberFormat="1" applyFont="1" applyFill="1" applyBorder="1" applyAlignment="1" applyProtection="1">
      <alignment horizontal="right"/>
    </xf>
    <xf numFmtId="0" fontId="19" fillId="24" borderId="0" xfId="39" applyFont="1" applyFill="1" applyBorder="1" applyProtection="1"/>
    <xf numFmtId="0" fontId="4" fillId="25" borderId="0" xfId="39" applyFont="1" applyFill="1" applyBorder="1" applyProtection="1"/>
    <xf numFmtId="0" fontId="4" fillId="0" borderId="0" xfId="0" applyFont="1" applyBorder="1"/>
    <xf numFmtId="4" fontId="4" fillId="0" borderId="0" xfId="39" applyNumberFormat="1" applyFont="1" applyBorder="1" applyProtection="1"/>
    <xf numFmtId="0" fontId="8" fillId="25" borderId="23" xfId="39" applyFont="1" applyFill="1" applyBorder="1" applyProtection="1"/>
    <xf numFmtId="0" fontId="8" fillId="25" borderId="24" xfId="39" applyFont="1" applyFill="1" applyBorder="1" applyAlignment="1" applyProtection="1">
      <alignment horizontal="center"/>
    </xf>
    <xf numFmtId="0" fontId="8" fillId="25" borderId="25" xfId="39" applyFont="1" applyFill="1" applyBorder="1" applyAlignment="1" applyProtection="1">
      <alignment horizontal="center"/>
    </xf>
    <xf numFmtId="44" fontId="7" fillId="24" borderId="0" xfId="0" applyNumberFormat="1" applyFont="1" applyFill="1" applyBorder="1"/>
    <xf numFmtId="0" fontId="21" fillId="29" borderId="0" xfId="0" applyNumberFormat="1" applyFont="1" applyFill="1" applyBorder="1" applyAlignment="1">
      <alignment horizontal="center" vertical="top"/>
    </xf>
    <xf numFmtId="10" fontId="1" fillId="0" borderId="0" xfId="0" applyNumberFormat="1" applyFont="1" applyFill="1" applyBorder="1" applyAlignment="1">
      <alignment horizontal="right" vertical="top"/>
    </xf>
    <xf numFmtId="0" fontId="7" fillId="0" borderId="0" xfId="39" applyFont="1" applyFill="1" applyBorder="1" applyAlignment="1" applyProtection="1">
      <alignment horizontal="center"/>
    </xf>
    <xf numFmtId="4" fontId="7" fillId="0" borderId="0" xfId="39" applyNumberFormat="1" applyFont="1" applyFill="1" applyBorder="1" applyAlignment="1" applyProtection="1">
      <alignment horizontal="right"/>
    </xf>
    <xf numFmtId="0" fontId="55" fillId="33" borderId="0" xfId="0" applyFont="1" applyFill="1" applyBorder="1" applyAlignment="1">
      <alignment horizontal="center"/>
    </xf>
    <xf numFmtId="0" fontId="55" fillId="26" borderId="0" xfId="0" applyFont="1" applyFill="1" applyBorder="1" applyAlignment="1">
      <alignment horizontal="center"/>
    </xf>
    <xf numFmtId="167" fontId="7" fillId="0" borderId="15" xfId="0" applyNumberFormat="1" applyFont="1" applyFill="1" applyBorder="1"/>
    <xf numFmtId="167" fontId="7" fillId="0" borderId="29" xfId="39" applyNumberFormat="1" applyFont="1" applyFill="1" applyBorder="1" applyProtection="1"/>
    <xf numFmtId="0" fontId="7" fillId="24" borderId="11" xfId="0" applyFont="1" applyFill="1" applyBorder="1" applyAlignment="1">
      <alignment horizontal="right" vertical="top"/>
    </xf>
    <xf numFmtId="10" fontId="8" fillId="0" borderId="12" xfId="0" applyNumberFormat="1" applyFont="1" applyFill="1" applyBorder="1" applyAlignment="1">
      <alignment horizontal="center" vertical="top"/>
    </xf>
    <xf numFmtId="10" fontId="20" fillId="25" borderId="39" xfId="0" applyNumberFormat="1" applyFont="1" applyFill="1" applyBorder="1" applyAlignment="1">
      <alignment horizontal="center" vertical="top"/>
    </xf>
    <xf numFmtId="0" fontId="19" fillId="29" borderId="0" xfId="0" quotePrefix="1" applyFont="1" applyFill="1" applyBorder="1" applyAlignment="1">
      <alignment vertical="top"/>
    </xf>
    <xf numFmtId="0" fontId="19" fillId="25" borderId="39" xfId="0" applyFont="1" applyFill="1" applyBorder="1" applyAlignment="1">
      <alignment horizontal="center" vertical="top"/>
    </xf>
    <xf numFmtId="6" fontId="14" fillId="24" borderId="0" xfId="0" applyNumberFormat="1" applyFont="1" applyFill="1" applyAlignment="1">
      <alignment vertical="top"/>
    </xf>
    <xf numFmtId="164" fontId="13" fillId="24" borderId="63" xfId="28" applyNumberFormat="1" applyFont="1" applyFill="1" applyBorder="1" applyAlignment="1">
      <alignment horizontal="center"/>
    </xf>
    <xf numFmtId="0" fontId="13" fillId="24" borderId="64" xfId="0" applyFont="1" applyFill="1" applyBorder="1" applyAlignment="1">
      <alignment horizontal="center"/>
    </xf>
    <xf numFmtId="164" fontId="13" fillId="24" borderId="65" xfId="0" applyNumberFormat="1" applyFont="1" applyFill="1" applyBorder="1" applyAlignment="1">
      <alignment horizontal="center"/>
    </xf>
    <xf numFmtId="164" fontId="13" fillId="24" borderId="65" xfId="28" applyNumberFormat="1" applyFont="1" applyFill="1" applyBorder="1" applyAlignment="1">
      <alignment horizontal="center"/>
    </xf>
    <xf numFmtId="10" fontId="13" fillId="24" borderId="66" xfId="0" applyNumberFormat="1" applyFont="1" applyFill="1" applyBorder="1" applyAlignment="1">
      <alignment horizontal="center"/>
    </xf>
    <xf numFmtId="0" fontId="12" fillId="26" borderId="19" xfId="0" applyFont="1" applyFill="1" applyBorder="1" applyAlignment="1">
      <alignment horizontal="left"/>
    </xf>
    <xf numFmtId="164" fontId="12" fillId="26" borderId="60" xfId="0" applyNumberFormat="1" applyFont="1" applyFill="1" applyBorder="1" applyAlignment="1">
      <alignment horizontal="center"/>
    </xf>
    <xf numFmtId="164" fontId="12" fillId="26" borderId="60" xfId="28" applyNumberFormat="1" applyFont="1" applyFill="1" applyBorder="1" applyAlignment="1">
      <alignment horizontal="center"/>
    </xf>
    <xf numFmtId="10" fontId="12" fillId="26" borderId="61" xfId="0" applyNumberFormat="1" applyFont="1" applyFill="1" applyBorder="1" applyAlignment="1">
      <alignment horizontal="center"/>
    </xf>
    <xf numFmtId="0" fontId="52" fillId="24" borderId="0" xfId="0" applyFont="1" applyFill="1" applyBorder="1" applyAlignment="1">
      <alignment horizontal="left" vertical="top" wrapText="1"/>
    </xf>
    <xf numFmtId="0" fontId="18" fillId="24" borderId="0" xfId="0" applyFont="1" applyFill="1" applyBorder="1" applyAlignment="1">
      <alignment horizontal="center" vertical="top" wrapText="1"/>
    </xf>
    <xf numFmtId="0" fontId="18" fillId="24" borderId="0" xfId="0" applyFont="1" applyFill="1" applyAlignment="1">
      <alignment horizontal="center" vertical="top" wrapText="1"/>
    </xf>
    <xf numFmtId="0" fontId="18" fillId="24" borderId="0" xfId="0" applyFont="1" applyFill="1" applyAlignment="1">
      <alignment vertical="top" wrapText="1"/>
    </xf>
    <xf numFmtId="0" fontId="13" fillId="24" borderId="0" xfId="0" applyFont="1" applyFill="1" applyBorder="1" applyAlignment="1"/>
    <xf numFmtId="0" fontId="13" fillId="24" borderId="12" xfId="0" applyFont="1" applyFill="1" applyBorder="1"/>
    <xf numFmtId="0" fontId="13" fillId="26" borderId="22" xfId="0" applyFont="1" applyFill="1" applyBorder="1" applyAlignment="1"/>
    <xf numFmtId="0" fontId="13" fillId="26" borderId="22" xfId="0" applyFont="1" applyFill="1" applyBorder="1"/>
    <xf numFmtId="0" fontId="13" fillId="24" borderId="67" xfId="0" applyFont="1" applyFill="1" applyBorder="1" applyAlignment="1">
      <alignment horizontal="left"/>
    </xf>
    <xf numFmtId="164" fontId="13" fillId="24" borderId="68" xfId="0" applyNumberFormat="1" applyFont="1" applyFill="1" applyBorder="1" applyAlignment="1">
      <alignment horizontal="center"/>
    </xf>
    <xf numFmtId="0" fontId="15" fillId="28" borderId="19" xfId="0" applyFont="1" applyFill="1" applyBorder="1" applyAlignment="1">
      <alignment horizontal="left"/>
    </xf>
    <xf numFmtId="164" fontId="15" fillId="28" borderId="60" xfId="0" applyNumberFormat="1" applyFont="1" applyFill="1" applyBorder="1" applyAlignment="1">
      <alignment horizontal="center"/>
    </xf>
    <xf numFmtId="164" fontId="15" fillId="28" borderId="61" xfId="0" applyNumberFormat="1" applyFont="1" applyFill="1" applyBorder="1" applyAlignment="1">
      <alignment horizontal="center"/>
    </xf>
    <xf numFmtId="164" fontId="21" fillId="24" borderId="27" xfId="0" applyNumberFormat="1" applyFont="1" applyFill="1" applyBorder="1" applyAlignment="1">
      <alignment horizontal="center" vertical="top"/>
    </xf>
    <xf numFmtId="3" fontId="21" fillId="24" borderId="0" xfId="0" applyNumberFormat="1" applyFont="1" applyFill="1" applyBorder="1" applyAlignment="1">
      <alignment horizontal="center" vertical="top"/>
    </xf>
    <xf numFmtId="9" fontId="21" fillId="24" borderId="0" xfId="42" applyFont="1" applyFill="1" applyBorder="1" applyAlignment="1">
      <alignment horizontal="center" vertical="top"/>
    </xf>
    <xf numFmtId="164" fontId="21" fillId="24" borderId="0" xfId="0" applyNumberFormat="1" applyFont="1" applyFill="1" applyBorder="1" applyAlignment="1">
      <alignment horizontal="center" vertical="top"/>
    </xf>
    <xf numFmtId="164" fontId="20" fillId="24" borderId="14" xfId="0" applyNumberFormat="1" applyFont="1" applyFill="1" applyBorder="1" applyAlignment="1">
      <alignment horizontal="center" vertical="top"/>
    </xf>
    <xf numFmtId="6" fontId="21" fillId="24" borderId="0" xfId="0" applyNumberFormat="1" applyFont="1" applyFill="1" applyBorder="1" applyAlignment="1">
      <alignment horizontal="center" vertical="top"/>
    </xf>
    <xf numFmtId="164" fontId="20" fillId="24" borderId="43" xfId="0" applyNumberFormat="1" applyFont="1" applyFill="1" applyBorder="1" applyAlignment="1">
      <alignment horizontal="center" vertical="top"/>
    </xf>
    <xf numFmtId="164" fontId="20" fillId="25" borderId="20" xfId="0" applyNumberFormat="1" applyFont="1" applyFill="1" applyBorder="1" applyAlignment="1">
      <alignment horizontal="center" vertical="top"/>
    </xf>
    <xf numFmtId="164" fontId="20" fillId="24" borderId="18" xfId="0" applyNumberFormat="1" applyFont="1" applyFill="1" applyBorder="1" applyAlignment="1">
      <alignment horizontal="center" vertical="top"/>
    </xf>
    <xf numFmtId="164" fontId="21" fillId="24" borderId="14" xfId="0" applyNumberFormat="1" applyFont="1" applyFill="1" applyBorder="1" applyAlignment="1">
      <alignment horizontal="center" vertical="top"/>
    </xf>
    <xf numFmtId="1" fontId="21" fillId="24" borderId="0" xfId="0" applyNumberFormat="1" applyFont="1" applyFill="1" applyBorder="1" applyAlignment="1">
      <alignment horizontal="center" vertical="top"/>
    </xf>
    <xf numFmtId="4" fontId="19" fillId="24" borderId="14" xfId="0" applyNumberFormat="1" applyFont="1" applyFill="1" applyBorder="1" applyAlignment="1">
      <alignment horizontal="center" vertical="top"/>
    </xf>
    <xf numFmtId="164" fontId="20" fillId="25" borderId="57" xfId="0" applyNumberFormat="1" applyFont="1" applyFill="1" applyBorder="1" applyAlignment="1">
      <alignment horizontal="center" vertical="top"/>
    </xf>
    <xf numFmtId="164" fontId="21" fillId="0" borderId="27" xfId="0" applyNumberFormat="1" applyFont="1" applyFill="1" applyBorder="1" applyAlignment="1">
      <alignment horizontal="center" vertical="top"/>
    </xf>
    <xf numFmtId="3" fontId="19" fillId="24" borderId="0" xfId="0" applyNumberFormat="1" applyFont="1" applyFill="1" applyBorder="1" applyAlignment="1">
      <alignment horizontal="center" vertical="top"/>
    </xf>
    <xf numFmtId="9" fontId="19" fillId="24" borderId="0" xfId="42" applyFont="1" applyFill="1" applyBorder="1" applyAlignment="1">
      <alignment horizontal="center" vertical="top"/>
    </xf>
    <xf numFmtId="6" fontId="19" fillId="24" borderId="0" xfId="0" applyNumberFormat="1" applyFont="1" applyFill="1" applyBorder="1" applyAlignment="1">
      <alignment horizontal="center" vertical="top"/>
    </xf>
    <xf numFmtId="1" fontId="19" fillId="24" borderId="0" xfId="0" applyNumberFormat="1" applyFont="1" applyFill="1" applyBorder="1" applyAlignment="1">
      <alignment horizontal="center" vertical="top"/>
    </xf>
    <xf numFmtId="164" fontId="21" fillId="24" borderId="14" xfId="0" applyNumberFormat="1" applyFont="1" applyFill="1" applyBorder="1" applyAlignment="1">
      <alignment horizontal="left" vertical="top"/>
    </xf>
    <xf numFmtId="0" fontId="20" fillId="33" borderId="0" xfId="0" applyFont="1" applyFill="1" applyBorder="1"/>
    <xf numFmtId="0" fontId="20" fillId="33" borderId="0" xfId="0" applyFont="1" applyFill="1" applyBorder="1" applyAlignment="1">
      <alignment horizontal="center"/>
    </xf>
    <xf numFmtId="164" fontId="8" fillId="26" borderId="0" xfId="28" applyNumberFormat="1" applyFont="1" applyFill="1" applyBorder="1" applyAlignment="1" applyProtection="1">
      <alignment horizontal="center"/>
      <protection locked="0"/>
    </xf>
    <xf numFmtId="10" fontId="8" fillId="26" borderId="0" xfId="42" applyNumberFormat="1" applyFont="1" applyFill="1" applyBorder="1" applyAlignment="1" applyProtection="1">
      <alignment horizontal="center"/>
      <protection locked="0"/>
    </xf>
    <xf numFmtId="3" fontId="8" fillId="26" borderId="0" xfId="39" applyNumberFormat="1" applyFont="1" applyFill="1" applyBorder="1" applyAlignment="1" applyProtection="1">
      <alignment horizontal="center"/>
      <protection locked="0"/>
    </xf>
    <xf numFmtId="8" fontId="20" fillId="26" borderId="0" xfId="0" applyNumberFormat="1" applyFont="1" applyFill="1" applyBorder="1" applyAlignment="1">
      <alignment horizontal="center"/>
    </xf>
    <xf numFmtId="44" fontId="8" fillId="26" borderId="0" xfId="39" applyNumberFormat="1" applyFont="1" applyFill="1" applyBorder="1" applyAlignment="1" applyProtection="1">
      <alignment horizontal="center"/>
    </xf>
    <xf numFmtId="164" fontId="8" fillId="26" borderId="0" xfId="0" applyNumberFormat="1" applyFont="1" applyFill="1" applyBorder="1" applyAlignment="1">
      <alignment horizontal="center"/>
    </xf>
    <xf numFmtId="10" fontId="8" fillId="26" borderId="0" xfId="0" applyNumberFormat="1" applyFont="1" applyFill="1" applyBorder="1" applyAlignment="1">
      <alignment horizontal="center"/>
    </xf>
    <xf numFmtId="3" fontId="8" fillId="26" borderId="0" xfId="0" applyNumberFormat="1" applyFont="1" applyFill="1" applyBorder="1" applyAlignment="1">
      <alignment horizontal="center"/>
    </xf>
    <xf numFmtId="8" fontId="20" fillId="34" borderId="0" xfId="0" applyNumberFormat="1" applyFont="1" applyFill="1" applyBorder="1" applyAlignment="1">
      <alignment horizontal="center"/>
    </xf>
    <xf numFmtId="44" fontId="20" fillId="34" borderId="0" xfId="0" applyNumberFormat="1" applyFont="1" applyFill="1" applyBorder="1" applyAlignment="1">
      <alignment horizontal="center"/>
    </xf>
    <xf numFmtId="164" fontId="7" fillId="0" borderId="0" xfId="39" applyNumberFormat="1" applyFont="1" applyBorder="1" applyAlignment="1" applyProtection="1">
      <alignment horizontal="center"/>
    </xf>
    <xf numFmtId="164" fontId="19" fillId="0" borderId="0" xfId="39" applyNumberFormat="1" applyFont="1" applyBorder="1" applyAlignment="1" applyProtection="1">
      <alignment horizontal="center"/>
    </xf>
    <xf numFmtId="164" fontId="19" fillId="0" borderId="0" xfId="0" applyNumberFormat="1" applyFont="1" applyFill="1" applyBorder="1" applyAlignment="1">
      <alignment horizontal="center"/>
    </xf>
    <xf numFmtId="3" fontId="19" fillId="0" borderId="0" xfId="0" applyNumberFormat="1" applyFont="1" applyBorder="1" applyAlignment="1">
      <alignment horizontal="center"/>
    </xf>
    <xf numFmtId="3" fontId="7" fillId="0" borderId="0" xfId="39" applyNumberFormat="1" applyFont="1" applyBorder="1" applyAlignment="1" applyProtection="1">
      <alignment horizontal="center"/>
    </xf>
    <xf numFmtId="3" fontId="19" fillId="0" borderId="0" xfId="39" applyNumberFormat="1" applyFont="1" applyBorder="1" applyAlignment="1" applyProtection="1">
      <alignment horizontal="center"/>
    </xf>
    <xf numFmtId="0" fontId="7" fillId="24" borderId="11" xfId="0" applyFont="1" applyFill="1" applyBorder="1" applyAlignment="1">
      <alignment horizontal="center" vertical="top"/>
    </xf>
    <xf numFmtId="164" fontId="20" fillId="24" borderId="27" xfId="0" applyNumberFormat="1" applyFont="1" applyFill="1" applyBorder="1" applyAlignment="1">
      <alignment horizontal="center" vertical="top"/>
    </xf>
    <xf numFmtId="164" fontId="20" fillId="24" borderId="28" xfId="0" applyNumberFormat="1" applyFont="1" applyFill="1" applyBorder="1" applyAlignment="1">
      <alignment horizontal="center" vertical="top"/>
    </xf>
    <xf numFmtId="164" fontId="39" fillId="24" borderId="11" xfId="0" applyNumberFormat="1" applyFont="1" applyFill="1" applyBorder="1" applyAlignment="1">
      <alignment horizontal="center" vertical="top"/>
    </xf>
    <xf numFmtId="4" fontId="19" fillId="24" borderId="12" xfId="0" applyNumberFormat="1" applyFont="1" applyFill="1" applyBorder="1" applyAlignment="1">
      <alignment horizontal="center" vertical="top"/>
    </xf>
    <xf numFmtId="0" fontId="20" fillId="24" borderId="0" xfId="0" applyFont="1" applyFill="1" applyBorder="1" applyAlignment="1">
      <alignment horizontal="center" vertical="top" wrapText="1"/>
    </xf>
    <xf numFmtId="0" fontId="20" fillId="24" borderId="0" xfId="0" applyFont="1" applyFill="1" applyBorder="1" applyAlignment="1">
      <alignment vertical="top" wrapText="1"/>
    </xf>
    <xf numFmtId="0" fontId="7" fillId="24" borderId="69" xfId="0" applyFont="1" applyFill="1" applyBorder="1" applyAlignment="1">
      <alignment horizontal="right" vertical="top"/>
    </xf>
    <xf numFmtId="0" fontId="19" fillId="24" borderId="56" xfId="0" applyFont="1" applyFill="1" applyBorder="1" applyAlignment="1">
      <alignment vertical="top"/>
    </xf>
    <xf numFmtId="0" fontId="19" fillId="24" borderId="56" xfId="0" quotePrefix="1" applyFont="1" applyFill="1" applyBorder="1" applyAlignment="1">
      <alignment vertical="top"/>
    </xf>
    <xf numFmtId="0" fontId="20" fillId="24" borderId="70" xfId="0" applyFont="1" applyFill="1" applyBorder="1" applyAlignment="1">
      <alignment vertical="top"/>
    </xf>
    <xf numFmtId="164" fontId="20" fillId="25" borderId="20" xfId="0" applyNumberFormat="1" applyFont="1" applyFill="1" applyBorder="1" applyAlignment="1">
      <alignment horizontal="left" vertical="top" indent="1"/>
    </xf>
    <xf numFmtId="164" fontId="20" fillId="25" borderId="20" xfId="0" applyNumberFormat="1" applyFont="1" applyFill="1" applyBorder="1" applyAlignment="1">
      <alignment horizontal="left" vertical="top" indent="2"/>
    </xf>
    <xf numFmtId="10" fontId="9" fillId="24" borderId="12" xfId="0" applyNumberFormat="1" applyFont="1" applyFill="1" applyBorder="1" applyAlignment="1">
      <alignment horizontal="center" vertical="top"/>
    </xf>
    <xf numFmtId="0" fontId="7" fillId="24" borderId="13" xfId="0" quotePrefix="1" applyFont="1" applyFill="1" applyBorder="1" applyAlignment="1">
      <alignment vertical="top"/>
    </xf>
    <xf numFmtId="0" fontId="7" fillId="24" borderId="14" xfId="0" quotePrefix="1" applyFont="1" applyFill="1" applyBorder="1" applyAlignment="1">
      <alignment vertical="top"/>
    </xf>
    <xf numFmtId="164" fontId="9" fillId="24" borderId="14" xfId="0" applyNumberFormat="1" applyFont="1" applyFill="1" applyBorder="1" applyAlignment="1">
      <alignment horizontal="center" vertical="top"/>
    </xf>
    <xf numFmtId="164" fontId="7" fillId="24" borderId="14" xfId="0" applyNumberFormat="1" applyFont="1" applyFill="1" applyBorder="1" applyAlignment="1">
      <alignment horizontal="center" vertical="top"/>
    </xf>
    <xf numFmtId="164" fontId="7" fillId="24" borderId="15" xfId="0" applyNumberFormat="1" applyFont="1" applyFill="1" applyBorder="1" applyAlignment="1">
      <alignment horizontal="center" vertical="top"/>
    </xf>
    <xf numFmtId="164" fontId="19" fillId="24" borderId="27" xfId="0" applyNumberFormat="1" applyFont="1" applyFill="1" applyBorder="1" applyAlignment="1">
      <alignment horizontal="center" vertical="top"/>
    </xf>
    <xf numFmtId="10" fontId="39" fillId="24" borderId="15" xfId="0" applyNumberFormat="1" applyFont="1" applyFill="1" applyBorder="1" applyAlignment="1">
      <alignment horizontal="center" vertical="top"/>
    </xf>
    <xf numFmtId="10" fontId="12" fillId="24" borderId="61" xfId="0" applyNumberFormat="1" applyFont="1" applyFill="1" applyBorder="1" applyAlignment="1">
      <alignment horizontal="center"/>
    </xf>
    <xf numFmtId="164" fontId="9" fillId="24" borderId="0" xfId="0" applyNumberFormat="1" applyFont="1" applyFill="1" applyBorder="1" applyAlignment="1">
      <alignment horizontal="center"/>
    </xf>
    <xf numFmtId="0" fontId="9" fillId="24" borderId="0" xfId="0" applyFont="1" applyFill="1" applyBorder="1"/>
    <xf numFmtId="0" fontId="9" fillId="24" borderId="12" xfId="0" applyFont="1" applyFill="1" applyBorder="1"/>
    <xf numFmtId="0" fontId="0" fillId="0" borderId="0" xfId="0" applyFill="1" applyBorder="1" applyAlignment="1">
      <alignment horizontal="center" vertical="top"/>
    </xf>
    <xf numFmtId="0" fontId="0" fillId="24" borderId="0" xfId="0" applyFill="1" applyBorder="1" applyAlignment="1">
      <alignment horizontal="center" vertical="top"/>
    </xf>
    <xf numFmtId="0" fontId="0" fillId="24" borderId="0" xfId="0" applyFill="1" applyBorder="1" applyAlignment="1">
      <alignment horizontal="left" vertical="top"/>
    </xf>
    <xf numFmtId="0" fontId="16" fillId="28" borderId="0" xfId="0" applyFont="1" applyFill="1" applyBorder="1"/>
    <xf numFmtId="9" fontId="14" fillId="24" borderId="0" xfId="0" applyNumberFormat="1" applyFont="1" applyFill="1" applyBorder="1" applyAlignment="1">
      <alignment horizontal="center" vertical="top" wrapText="1"/>
    </xf>
    <xf numFmtId="165" fontId="13" fillId="24" borderId="0" xfId="0" applyNumberFormat="1" applyFont="1" applyFill="1" applyBorder="1" applyAlignment="1">
      <alignment horizontal="center" vertical="top" wrapText="1"/>
    </xf>
    <xf numFmtId="9" fontId="12" fillId="24" borderId="0" xfId="0" applyNumberFormat="1" applyFont="1" applyFill="1" applyBorder="1" applyAlignment="1">
      <alignment horizontal="center" vertical="top" wrapText="1"/>
    </xf>
    <xf numFmtId="9" fontId="13" fillId="24" borderId="0" xfId="0" applyNumberFormat="1" applyFont="1" applyFill="1" applyBorder="1" applyAlignment="1">
      <alignment horizontal="center" vertical="top" wrapText="1"/>
    </xf>
    <xf numFmtId="6" fontId="14" fillId="24" borderId="0" xfId="0" applyNumberFormat="1" applyFont="1" applyFill="1" applyBorder="1" applyAlignment="1">
      <alignment vertical="top"/>
    </xf>
    <xf numFmtId="6" fontId="12" fillId="24" borderId="0" xfId="0" applyNumberFormat="1" applyFont="1" applyFill="1" applyBorder="1" applyAlignment="1">
      <alignment vertical="top"/>
    </xf>
    <xf numFmtId="9" fontId="0" fillId="24" borderId="0" xfId="42" applyFont="1" applyFill="1" applyBorder="1" applyAlignment="1"/>
    <xf numFmtId="167" fontId="0" fillId="24" borderId="0" xfId="28" applyNumberFormat="1" applyFont="1" applyFill="1" applyBorder="1" applyAlignment="1"/>
    <xf numFmtId="165" fontId="15" fillId="28" borderId="0" xfId="0" applyNumberFormat="1" applyFont="1" applyFill="1" applyBorder="1" applyAlignment="1">
      <alignment horizontal="center" vertical="top" wrapText="1"/>
    </xf>
    <xf numFmtId="170" fontId="14" fillId="24" borderId="11" xfId="0" applyNumberFormat="1" applyFont="1" applyFill="1" applyBorder="1" applyAlignment="1">
      <alignment horizontal="right" vertical="top" wrapText="1"/>
    </xf>
    <xf numFmtId="170" fontId="12" fillId="24" borderId="11" xfId="0" applyNumberFormat="1" applyFont="1" applyFill="1" applyBorder="1" applyAlignment="1">
      <alignment horizontal="right" vertical="top" wrapText="1"/>
    </xf>
    <xf numFmtId="170" fontId="13" fillId="24" borderId="11" xfId="0" applyNumberFormat="1" applyFont="1" applyFill="1" applyBorder="1" applyAlignment="1">
      <alignment horizontal="right" vertical="top" wrapText="1"/>
    </xf>
    <xf numFmtId="170" fontId="15" fillId="28" borderId="11" xfId="0" applyNumberFormat="1" applyFont="1" applyFill="1" applyBorder="1" applyAlignment="1">
      <alignment horizontal="right" vertical="top" wrapText="1"/>
    </xf>
    <xf numFmtId="0" fontId="16" fillId="28" borderId="12" xfId="0" applyFont="1" applyFill="1" applyBorder="1"/>
    <xf numFmtId="0" fontId="16" fillId="28" borderId="19" xfId="0" applyFont="1" applyFill="1" applyBorder="1" applyAlignment="1">
      <alignment horizontal="left" vertical="top" wrapText="1"/>
    </xf>
    <xf numFmtId="0" fontId="15" fillId="28" borderId="20" xfId="0" applyFont="1" applyFill="1" applyBorder="1" applyAlignment="1">
      <alignment horizontal="center" vertical="top" wrapText="1"/>
    </xf>
    <xf numFmtId="0" fontId="16" fillId="28" borderId="20" xfId="0" applyFont="1" applyFill="1" applyBorder="1"/>
    <xf numFmtId="0" fontId="16" fillId="28" borderId="39" xfId="0" applyFont="1" applyFill="1" applyBorder="1"/>
    <xf numFmtId="0" fontId="58" fillId="26" borderId="49" xfId="0" applyFont="1" applyFill="1" applyBorder="1" applyAlignment="1">
      <alignment horizontal="right" vertical="top" wrapText="1"/>
    </xf>
    <xf numFmtId="9" fontId="59" fillId="26" borderId="22" xfId="0" applyNumberFormat="1" applyFont="1" applyFill="1" applyBorder="1" applyAlignment="1">
      <alignment horizontal="center" vertical="top" wrapText="1"/>
    </xf>
    <xf numFmtId="0" fontId="58" fillId="26" borderId="37" xfId="0" applyFont="1" applyFill="1" applyBorder="1" applyAlignment="1">
      <alignment horizontal="right" vertical="top" wrapText="1"/>
    </xf>
    <xf numFmtId="9" fontId="59" fillId="26" borderId="10" xfId="0" applyNumberFormat="1" applyFont="1" applyFill="1" applyBorder="1" applyAlignment="1">
      <alignment horizontal="center" vertical="top" wrapText="1"/>
    </xf>
    <xf numFmtId="0" fontId="15" fillId="26" borderId="10" xfId="0" applyFont="1" applyFill="1" applyBorder="1" applyAlignment="1">
      <alignment horizontal="center" vertical="top" wrapText="1"/>
    </xf>
    <xf numFmtId="0" fontId="12" fillId="26" borderId="10" xfId="0" applyFont="1" applyFill="1" applyBorder="1" applyAlignment="1">
      <alignment horizontal="left" vertical="top"/>
    </xf>
    <xf numFmtId="0" fontId="16" fillId="26" borderId="10" xfId="0" applyFont="1" applyFill="1" applyBorder="1"/>
    <xf numFmtId="0" fontId="16" fillId="26" borderId="38" xfId="0" applyFont="1" applyFill="1" applyBorder="1"/>
    <xf numFmtId="0" fontId="57" fillId="26" borderId="49" xfId="0" applyFont="1" applyFill="1" applyBorder="1" applyAlignment="1">
      <alignment horizontal="right" vertical="top" wrapText="1"/>
    </xf>
    <xf numFmtId="0" fontId="13" fillId="26" borderId="22" xfId="0" applyFont="1" applyFill="1" applyBorder="1" applyAlignment="1">
      <alignment horizontal="center" vertical="top" wrapText="1"/>
    </xf>
    <xf numFmtId="165" fontId="13" fillId="26" borderId="22" xfId="0" applyNumberFormat="1" applyFont="1" applyFill="1" applyBorder="1" applyAlignment="1">
      <alignment vertical="top" wrapText="1"/>
    </xf>
    <xf numFmtId="0" fontId="13" fillId="26" borderId="47" xfId="0" applyFont="1" applyFill="1" applyBorder="1"/>
    <xf numFmtId="0" fontId="12" fillId="26" borderId="22" xfId="0" applyFont="1" applyFill="1" applyBorder="1" applyAlignment="1"/>
    <xf numFmtId="9" fontId="13" fillId="26" borderId="22" xfId="0" applyNumberFormat="1" applyFont="1" applyFill="1" applyBorder="1" applyAlignment="1">
      <alignment horizontal="center" vertical="top" wrapText="1"/>
    </xf>
    <xf numFmtId="0" fontId="13" fillId="25" borderId="19" xfId="0" applyFont="1" applyFill="1" applyBorder="1"/>
    <xf numFmtId="0" fontId="13" fillId="25" borderId="20" xfId="0" applyFont="1" applyFill="1" applyBorder="1"/>
    <xf numFmtId="9" fontId="12" fillId="25" borderId="20" xfId="0" applyNumberFormat="1" applyFont="1" applyFill="1" applyBorder="1" applyAlignment="1">
      <alignment horizontal="center"/>
    </xf>
    <xf numFmtId="0" fontId="13" fillId="25" borderId="39" xfId="0" applyFont="1" applyFill="1" applyBorder="1"/>
    <xf numFmtId="0" fontId="58" fillId="35" borderId="49" xfId="0" applyFont="1" applyFill="1" applyBorder="1" applyAlignment="1">
      <alignment horizontal="right" vertical="top" wrapText="1"/>
    </xf>
    <xf numFmtId="9" fontId="60" fillId="35" borderId="22" xfId="0" applyNumberFormat="1" applyFont="1" applyFill="1" applyBorder="1" applyAlignment="1">
      <alignment horizontal="center" vertical="top" wrapText="1"/>
    </xf>
    <xf numFmtId="0" fontId="61" fillId="35" borderId="22" xfId="0" applyFont="1" applyFill="1" applyBorder="1" applyAlignment="1">
      <alignment horizontal="center" vertical="top" wrapText="1"/>
    </xf>
    <xf numFmtId="9" fontId="15" fillId="35" borderId="22" xfId="0" applyNumberFormat="1" applyFont="1" applyFill="1" applyBorder="1" applyAlignment="1">
      <alignment horizontal="center" vertical="top" wrapText="1"/>
    </xf>
    <xf numFmtId="9" fontId="15" fillId="35" borderId="22" xfId="0" applyNumberFormat="1" applyFont="1" applyFill="1" applyBorder="1" applyAlignment="1">
      <alignment horizontal="left" vertical="top"/>
    </xf>
    <xf numFmtId="0" fontId="61" fillId="35" borderId="22" xfId="0" applyFont="1" applyFill="1" applyBorder="1"/>
    <xf numFmtId="0" fontId="61" fillId="35" borderId="47" xfId="0" applyFont="1" applyFill="1" applyBorder="1"/>
    <xf numFmtId="9" fontId="60" fillId="26" borderId="22" xfId="0" applyNumberFormat="1" applyFont="1" applyFill="1" applyBorder="1" applyAlignment="1">
      <alignment horizontal="center" vertical="top" wrapText="1"/>
    </xf>
    <xf numFmtId="0" fontId="61" fillId="26" borderId="22" xfId="0" applyFont="1" applyFill="1" applyBorder="1" applyAlignment="1">
      <alignment horizontal="center" vertical="top" wrapText="1"/>
    </xf>
    <xf numFmtId="0" fontId="61" fillId="26" borderId="22" xfId="0" applyFont="1" applyFill="1" applyBorder="1" applyAlignment="1"/>
    <xf numFmtId="0" fontId="61" fillId="26" borderId="22" xfId="0" applyFont="1" applyFill="1" applyBorder="1"/>
    <xf numFmtId="0" fontId="61" fillId="26" borderId="47" xfId="0" applyFont="1" applyFill="1" applyBorder="1"/>
    <xf numFmtId="0" fontId="56" fillId="26" borderId="49" xfId="0" applyFont="1" applyFill="1" applyBorder="1" applyAlignment="1">
      <alignment horizontal="right" vertical="top" wrapText="1"/>
    </xf>
    <xf numFmtId="165" fontId="7" fillId="24" borderId="0" xfId="0" quotePrefix="1" applyNumberFormat="1" applyFont="1" applyFill="1" applyBorder="1" applyAlignment="1">
      <alignment horizontal="center" vertical="top" wrapText="1"/>
    </xf>
    <xf numFmtId="0" fontId="4" fillId="24" borderId="0" xfId="0" applyFont="1" applyFill="1" applyBorder="1" applyAlignment="1"/>
    <xf numFmtId="0" fontId="15" fillId="28" borderId="40" xfId="0" applyFont="1" applyFill="1" applyBorder="1" applyAlignment="1">
      <alignment horizontal="left" wrapText="1"/>
    </xf>
    <xf numFmtId="164" fontId="62" fillId="24" borderId="12" xfId="0" applyNumberFormat="1" applyFont="1" applyFill="1" applyBorder="1" applyAlignment="1">
      <alignment horizontal="left" vertical="top" indent="1"/>
    </xf>
    <xf numFmtId="164" fontId="62" fillId="24" borderId="29" xfId="0" applyNumberFormat="1" applyFont="1" applyFill="1" applyBorder="1" applyAlignment="1">
      <alignment horizontal="left" vertical="top" indent="1"/>
    </xf>
    <xf numFmtId="6" fontId="13" fillId="0" borderId="12" xfId="0" applyNumberFormat="1" applyFont="1" applyFill="1" applyBorder="1" applyAlignment="1">
      <alignment horizontal="center"/>
    </xf>
    <xf numFmtId="0" fontId="15" fillId="28" borderId="43" xfId="0" applyFont="1" applyFill="1" applyBorder="1" applyAlignment="1">
      <alignment horizontal="left" wrapText="1"/>
    </xf>
    <xf numFmtId="6" fontId="15" fillId="28" borderId="25" xfId="0" applyNumberFormat="1" applyFont="1" applyFill="1" applyBorder="1" applyAlignment="1">
      <alignment horizontal="center"/>
    </xf>
    <xf numFmtId="164" fontId="19" fillId="0" borderId="47" xfId="0" applyNumberFormat="1" applyFont="1" applyBorder="1" applyAlignment="1">
      <alignment horizontal="left" vertical="top"/>
    </xf>
    <xf numFmtId="0" fontId="19" fillId="0" borderId="47" xfId="0" applyFont="1" applyBorder="1" applyAlignment="1">
      <alignment horizontal="left" vertical="top"/>
    </xf>
    <xf numFmtId="9" fontId="19" fillId="0" borderId="47" xfId="0" applyNumberFormat="1" applyFont="1" applyBorder="1" applyAlignment="1">
      <alignment horizontal="left" vertical="top"/>
    </xf>
    <xf numFmtId="0" fontId="19" fillId="0" borderId="47" xfId="0" applyFont="1" applyBorder="1" applyAlignment="1">
      <alignment vertical="top"/>
    </xf>
    <xf numFmtId="0" fontId="7" fillId="29" borderId="0" xfId="0" applyFont="1" applyFill="1" applyBorder="1" applyAlignment="1">
      <alignment horizontal="left"/>
    </xf>
    <xf numFmtId="0" fontId="15" fillId="28" borderId="14" xfId="0" applyFont="1" applyFill="1" applyBorder="1" applyAlignment="1">
      <alignment horizontal="center"/>
    </xf>
    <xf numFmtId="9" fontId="20" fillId="29" borderId="0" xfId="42" applyFont="1" applyFill="1" applyBorder="1" applyAlignment="1">
      <alignment horizontal="left"/>
    </xf>
    <xf numFmtId="0" fontId="7" fillId="26" borderId="13" xfId="0" applyFont="1" applyFill="1" applyBorder="1" applyAlignment="1">
      <alignment horizontal="left" vertical="top" wrapText="1" indent="1"/>
    </xf>
    <xf numFmtId="0" fontId="13" fillId="24" borderId="16" xfId="0" applyFont="1" applyFill="1" applyBorder="1" applyAlignment="1">
      <alignment horizontal="left" indent="2"/>
    </xf>
    <xf numFmtId="9" fontId="13" fillId="24" borderId="29" xfId="0" applyNumberFormat="1" applyFont="1" applyFill="1" applyBorder="1" applyAlignment="1">
      <alignment horizontal="center"/>
    </xf>
    <xf numFmtId="165" fontId="21" fillId="24" borderId="11" xfId="42" applyNumberFormat="1" applyFont="1" applyFill="1" applyBorder="1" applyAlignment="1">
      <alignment horizontal="center" vertical="top"/>
    </xf>
    <xf numFmtId="165" fontId="21" fillId="24" borderId="13" xfId="42" applyNumberFormat="1" applyFont="1" applyFill="1" applyBorder="1" applyAlignment="1">
      <alignment horizontal="center" vertical="top"/>
    </xf>
    <xf numFmtId="0" fontId="19" fillId="24" borderId="12" xfId="0" applyFont="1" applyFill="1" applyBorder="1" applyAlignment="1">
      <alignment horizontal="center"/>
    </xf>
    <xf numFmtId="0" fontId="19" fillId="24" borderId="15" xfId="0" applyFont="1" applyFill="1" applyBorder="1" applyAlignment="1">
      <alignment horizontal="center"/>
    </xf>
    <xf numFmtId="9" fontId="7" fillId="24" borderId="0" xfId="0" applyNumberFormat="1" applyFont="1" applyFill="1" applyBorder="1" applyAlignment="1">
      <alignment horizontal="center"/>
    </xf>
    <xf numFmtId="6" fontId="64" fillId="24" borderId="0" xfId="0" applyNumberFormat="1" applyFont="1" applyFill="1" applyBorder="1" applyAlignment="1">
      <alignment horizontal="center"/>
    </xf>
    <xf numFmtId="10" fontId="12" fillId="26" borderId="15" xfId="0" applyNumberFormat="1" applyFont="1" applyFill="1" applyBorder="1" applyAlignment="1">
      <alignment horizontal="center" vertical="top"/>
    </xf>
    <xf numFmtId="0" fontId="7" fillId="24" borderId="0" xfId="0" applyFont="1" applyFill="1" applyBorder="1" applyAlignment="1">
      <alignment horizontal="left" vertical="center" indent="1"/>
    </xf>
    <xf numFmtId="10" fontId="12" fillId="26" borderId="25" xfId="0" applyNumberFormat="1" applyFont="1" applyFill="1" applyBorder="1" applyAlignment="1">
      <alignment horizontal="center" vertical="center"/>
    </xf>
    <xf numFmtId="0" fontId="20" fillId="24" borderId="0" xfId="0" applyFont="1" applyFill="1" applyBorder="1" applyAlignment="1">
      <alignment horizontal="left"/>
    </xf>
    <xf numFmtId="164" fontId="19" fillId="24" borderId="0" xfId="0" applyNumberFormat="1" applyFont="1" applyFill="1" applyBorder="1" applyAlignment="1">
      <alignment horizontal="center"/>
    </xf>
    <xf numFmtId="0" fontId="8" fillId="24" borderId="0" xfId="0" applyFont="1" applyFill="1" applyBorder="1" applyAlignment="1">
      <alignment horizontal="left" vertical="top"/>
    </xf>
    <xf numFmtId="2" fontId="7" fillId="24" borderId="0" xfId="0" applyNumberFormat="1" applyFont="1" applyFill="1" applyBorder="1" applyAlignment="1">
      <alignment horizontal="center" vertical="top"/>
    </xf>
    <xf numFmtId="0" fontId="7" fillId="29" borderId="0" xfId="0" applyFont="1" applyFill="1" applyBorder="1" applyAlignment="1">
      <alignment horizontal="left" vertical="top"/>
    </xf>
    <xf numFmtId="0" fontId="63" fillId="24" borderId="0" xfId="0" applyFont="1" applyFill="1" applyBorder="1" applyAlignment="1">
      <alignment horizontal="center" vertical="top"/>
    </xf>
    <xf numFmtId="0" fontId="63" fillId="0" borderId="0" xfId="0" applyFont="1" applyFill="1" applyBorder="1" applyAlignment="1">
      <alignment horizontal="center" vertical="top"/>
    </xf>
    <xf numFmtId="0" fontId="66" fillId="36" borderId="72" xfId="0" applyFont="1" applyFill="1" applyBorder="1" applyAlignment="1">
      <alignment horizontal="center" vertical="center"/>
    </xf>
    <xf numFmtId="0" fontId="63" fillId="24" borderId="0" xfId="0" applyFont="1" applyFill="1" applyBorder="1" applyAlignment="1">
      <alignment horizontal="left" vertical="top"/>
    </xf>
    <xf numFmtId="0" fontId="8" fillId="24" borderId="0" xfId="0" applyFont="1" applyFill="1" applyBorder="1" applyAlignment="1">
      <alignment horizontal="center" vertical="top"/>
    </xf>
    <xf numFmtId="0" fontId="7" fillId="24" borderId="0" xfId="0" applyFont="1" applyFill="1" applyBorder="1" applyAlignment="1">
      <alignment horizontal="left" vertical="top"/>
    </xf>
    <xf numFmtId="9" fontId="7" fillId="24" borderId="0" xfId="42" applyFont="1" applyFill="1" applyBorder="1" applyAlignment="1">
      <alignment horizontal="left" vertical="top"/>
    </xf>
    <xf numFmtId="0" fontId="7" fillId="24" borderId="0" xfId="0" applyFont="1" applyFill="1" applyBorder="1" applyAlignment="1">
      <alignment horizontal="center" vertical="top"/>
    </xf>
    <xf numFmtId="9" fontId="7" fillId="24" borderId="0" xfId="42" applyFont="1" applyFill="1" applyBorder="1" applyAlignment="1">
      <alignment horizontal="center" vertical="top"/>
    </xf>
    <xf numFmtId="10" fontId="12" fillId="28" borderId="41" xfId="0" applyNumberFormat="1" applyFont="1" applyFill="1" applyBorder="1" applyAlignment="1">
      <alignment horizontal="center"/>
    </xf>
    <xf numFmtId="165" fontId="19" fillId="24" borderId="0" xfId="0" applyNumberFormat="1" applyFont="1" applyFill="1" applyBorder="1" applyAlignment="1">
      <alignment horizontal="left"/>
    </xf>
    <xf numFmtId="0" fontId="4" fillId="24" borderId="0" xfId="0" applyFont="1" applyFill="1" applyBorder="1" applyAlignment="1">
      <alignment horizontal="center" vertical="top"/>
    </xf>
    <xf numFmtId="0" fontId="8" fillId="24" borderId="0" xfId="0" applyFont="1" applyFill="1" applyBorder="1" applyAlignment="1">
      <alignment horizontal="center" vertical="center"/>
    </xf>
    <xf numFmtId="0" fontId="0" fillId="0" borderId="0" xfId="0" applyAlignment="1">
      <alignment horizontal="center" vertical="top"/>
    </xf>
    <xf numFmtId="0" fontId="63" fillId="24" borderId="0" xfId="0" applyFont="1" applyFill="1" applyBorder="1" applyAlignment="1">
      <alignment horizontal="left" vertical="center" wrapText="1"/>
    </xf>
    <xf numFmtId="0" fontId="63" fillId="24" borderId="0" xfId="0" applyFont="1" applyFill="1" applyBorder="1" applyAlignment="1">
      <alignment horizontal="center" vertical="center"/>
    </xf>
    <xf numFmtId="0" fontId="8" fillId="25" borderId="49" xfId="0" applyFont="1" applyFill="1" applyBorder="1" applyAlignment="1">
      <alignment horizontal="center" vertical="center" wrapText="1"/>
    </xf>
    <xf numFmtId="0" fontId="8" fillId="25" borderId="48" xfId="0" applyFont="1" applyFill="1" applyBorder="1" applyAlignment="1">
      <alignment horizontal="center" vertical="center"/>
    </xf>
    <xf numFmtId="0" fontId="63" fillId="0" borderId="0" xfId="0" applyFont="1" applyFill="1" applyBorder="1" applyAlignment="1">
      <alignment horizontal="center" vertical="center"/>
    </xf>
    <xf numFmtId="0" fontId="7" fillId="24" borderId="48" xfId="0" applyFont="1" applyFill="1" applyBorder="1" applyAlignment="1">
      <alignment horizontal="left" vertical="center" wrapText="1"/>
    </xf>
    <xf numFmtId="2" fontId="7" fillId="24" borderId="49" xfId="0" applyNumberFormat="1" applyFont="1" applyFill="1" applyBorder="1" applyAlignment="1">
      <alignment horizontal="center" vertical="center"/>
    </xf>
    <xf numFmtId="4" fontId="19" fillId="24" borderId="48" xfId="0" applyNumberFormat="1" applyFont="1" applyFill="1" applyBorder="1" applyAlignment="1">
      <alignment horizontal="center" vertical="center"/>
    </xf>
    <xf numFmtId="2" fontId="9" fillId="24" borderId="0" xfId="0" applyNumberFormat="1" applyFont="1" applyFill="1" applyBorder="1" applyAlignment="1">
      <alignment horizontal="center" vertical="center"/>
    </xf>
    <xf numFmtId="0" fontId="9" fillId="24" borderId="0" xfId="0" applyFont="1" applyFill="1" applyBorder="1" applyAlignment="1">
      <alignment vertical="center"/>
    </xf>
    <xf numFmtId="9" fontId="7" fillId="24" borderId="49" xfId="42" applyNumberFormat="1" applyFont="1" applyFill="1" applyBorder="1" applyAlignment="1">
      <alignment horizontal="center" vertical="center"/>
    </xf>
    <xf numFmtId="165" fontId="19" fillId="24" borderId="48" xfId="42" applyNumberFormat="1" applyFont="1" applyFill="1" applyBorder="1" applyAlignment="1">
      <alignment horizontal="center" vertical="center"/>
    </xf>
    <xf numFmtId="9" fontId="9" fillId="24" borderId="0" xfId="0" applyNumberFormat="1" applyFont="1" applyFill="1" applyBorder="1" applyAlignment="1">
      <alignment horizontal="center" vertical="center"/>
    </xf>
    <xf numFmtId="0" fontId="9" fillId="24" borderId="0" xfId="0" applyFont="1" applyFill="1" applyBorder="1" applyAlignment="1">
      <alignment horizontal="left" vertical="center"/>
    </xf>
    <xf numFmtId="0" fontId="9" fillId="29" borderId="0" xfId="0" applyFont="1" applyFill="1" applyBorder="1" applyAlignment="1">
      <alignment vertical="center"/>
    </xf>
    <xf numFmtId="164" fontId="7" fillId="24" borderId="49" xfId="28" applyNumberFormat="1" applyFont="1" applyFill="1" applyBorder="1" applyAlignment="1">
      <alignment horizontal="center" vertical="center"/>
    </xf>
    <xf numFmtId="164" fontId="19" fillId="24" borderId="48" xfId="28" applyNumberFormat="1" applyFont="1" applyFill="1" applyBorder="1" applyAlignment="1">
      <alignment horizontal="center" vertical="center"/>
    </xf>
    <xf numFmtId="164" fontId="9" fillId="24" borderId="0" xfId="28" applyNumberFormat="1" applyFont="1" applyFill="1" applyBorder="1" applyAlignment="1">
      <alignment horizontal="center" vertical="center"/>
    </xf>
    <xf numFmtId="0" fontId="7" fillId="24" borderId="65" xfId="0" applyFont="1" applyFill="1" applyBorder="1" applyAlignment="1">
      <alignment horizontal="left" vertical="center" wrapText="1"/>
    </xf>
    <xf numFmtId="5" fontId="7" fillId="24" borderId="65" xfId="28" applyNumberFormat="1" applyFont="1" applyFill="1" applyBorder="1" applyAlignment="1">
      <alignment horizontal="center" vertical="center" wrapText="1"/>
    </xf>
    <xf numFmtId="164" fontId="9" fillId="24" borderId="0" xfId="0" applyNumberFormat="1" applyFont="1" applyFill="1" applyBorder="1" applyAlignment="1">
      <alignment horizontal="center" vertical="center" wrapText="1"/>
    </xf>
    <xf numFmtId="165" fontId="7" fillId="24" borderId="49" xfId="42" applyNumberFormat="1" applyFont="1" applyFill="1" applyBorder="1" applyAlignment="1">
      <alignment horizontal="center" vertical="center"/>
    </xf>
    <xf numFmtId="165" fontId="9" fillId="24" borderId="0" xfId="0" applyNumberFormat="1" applyFont="1" applyFill="1" applyBorder="1" applyAlignment="1">
      <alignment horizontal="center" vertical="center"/>
    </xf>
    <xf numFmtId="0" fontId="67" fillId="24" borderId="0" xfId="0" applyFont="1" applyFill="1" applyBorder="1" applyAlignment="1">
      <alignment horizontal="center" vertical="center"/>
    </xf>
    <xf numFmtId="0" fontId="67" fillId="24" borderId="0" xfId="0" applyFont="1" applyFill="1" applyBorder="1" applyAlignment="1">
      <alignment horizontal="left" vertical="center"/>
    </xf>
    <xf numFmtId="0" fontId="7" fillId="24" borderId="48" xfId="0" applyFont="1" applyFill="1" applyBorder="1" applyAlignment="1">
      <alignment horizontal="left" vertical="center" wrapText="1" indent="1"/>
    </xf>
    <xf numFmtId="0" fontId="7" fillId="24" borderId="65" xfId="0" applyFont="1" applyFill="1" applyBorder="1" applyAlignment="1">
      <alignment horizontal="left" vertical="center" wrapText="1" indent="1"/>
    </xf>
    <xf numFmtId="0" fontId="63" fillId="0" borderId="0" xfId="0" applyFont="1" applyFill="1" applyBorder="1" applyAlignment="1">
      <alignment horizontal="left" vertical="center" wrapText="1"/>
    </xf>
    <xf numFmtId="0" fontId="66" fillId="36" borderId="45" xfId="0" applyFont="1" applyFill="1" applyBorder="1" applyAlignment="1">
      <alignment horizontal="center" vertical="center"/>
    </xf>
    <xf numFmtId="0" fontId="63" fillId="24" borderId="14" xfId="0" applyFont="1" applyFill="1" applyBorder="1" applyAlignment="1">
      <alignment horizontal="left" vertical="center" wrapText="1"/>
    </xf>
    <xf numFmtId="44" fontId="7" fillId="24" borderId="0" xfId="28" applyFont="1" applyFill="1" applyBorder="1" applyAlignment="1">
      <alignment horizontal="center" vertical="top"/>
    </xf>
    <xf numFmtId="166" fontId="7" fillId="24" borderId="0" xfId="28" applyNumberFormat="1" applyFont="1" applyFill="1" applyBorder="1" applyAlignment="1">
      <alignment horizontal="center" vertical="top"/>
    </xf>
    <xf numFmtId="167" fontId="7" fillId="24" borderId="0" xfId="28" applyNumberFormat="1" applyFont="1" applyFill="1" applyBorder="1" applyAlignment="1">
      <alignment horizontal="center" vertical="top"/>
    </xf>
    <xf numFmtId="165" fontId="7" fillId="24" borderId="0" xfId="0" applyNumberFormat="1" applyFont="1" applyFill="1" applyBorder="1" applyAlignment="1">
      <alignment horizontal="center" vertical="top"/>
    </xf>
    <xf numFmtId="167" fontId="7" fillId="24" borderId="0" xfId="28" applyNumberFormat="1" applyFont="1" applyFill="1" applyBorder="1" applyAlignment="1">
      <alignment horizontal="left" vertical="top"/>
    </xf>
    <xf numFmtId="165" fontId="7" fillId="24" borderId="0" xfId="42" applyNumberFormat="1" applyFont="1" applyFill="1" applyBorder="1" applyAlignment="1">
      <alignment horizontal="left" vertical="top"/>
    </xf>
    <xf numFmtId="168" fontId="7" fillId="24" borderId="14" xfId="0" applyNumberFormat="1" applyFont="1" applyFill="1" applyBorder="1" applyAlignment="1">
      <alignment horizontal="center"/>
    </xf>
    <xf numFmtId="0" fontId="8" fillId="25" borderId="48" xfId="0" applyFont="1" applyFill="1" applyBorder="1" applyAlignment="1">
      <alignment horizontal="left" vertical="center" wrapText="1" indent="1"/>
    </xf>
    <xf numFmtId="164" fontId="21" fillId="0" borderId="0" xfId="0" applyNumberFormat="1" applyFont="1" applyFill="1" applyBorder="1" applyAlignment="1">
      <alignment horizontal="center" vertical="top"/>
    </xf>
    <xf numFmtId="0" fontId="19" fillId="24" borderId="69" xfId="0" applyFont="1" applyFill="1" applyBorder="1" applyAlignment="1">
      <alignment vertical="top"/>
    </xf>
    <xf numFmtId="0" fontId="19" fillId="24" borderId="56" xfId="0" applyFont="1" applyFill="1" applyBorder="1" applyAlignment="1">
      <alignment vertical="top" wrapText="1"/>
    </xf>
    <xf numFmtId="0" fontId="20" fillId="24" borderId="55" xfId="0" applyFont="1" applyFill="1" applyBorder="1" applyAlignment="1">
      <alignment vertical="top"/>
    </xf>
    <xf numFmtId="164" fontId="39" fillId="24" borderId="12" xfId="0" applyNumberFormat="1" applyFont="1" applyFill="1" applyBorder="1" applyAlignment="1">
      <alignment horizontal="center" vertical="top"/>
    </xf>
    <xf numFmtId="164" fontId="39" fillId="24" borderId="12" xfId="0" applyNumberFormat="1" applyFont="1" applyFill="1" applyBorder="1" applyAlignment="1">
      <alignment horizontal="left" vertical="top"/>
    </xf>
    <xf numFmtId="164" fontId="12" fillId="24" borderId="58" xfId="28" applyNumberFormat="1" applyFont="1" applyFill="1" applyBorder="1" applyAlignment="1">
      <alignment horizontal="center"/>
    </xf>
    <xf numFmtId="0" fontId="12" fillId="24" borderId="59" xfId="0" applyFont="1" applyFill="1" applyBorder="1" applyAlignment="1">
      <alignment horizontal="center"/>
    </xf>
    <xf numFmtId="164" fontId="12" fillId="24" borderId="48" xfId="28" applyNumberFormat="1" applyFont="1" applyFill="1" applyBorder="1" applyAlignment="1">
      <alignment horizontal="center"/>
    </xf>
    <xf numFmtId="10" fontId="12" fillId="24" borderId="50" xfId="0" applyNumberFormat="1" applyFont="1" applyFill="1" applyBorder="1" applyAlignment="1">
      <alignment horizontal="center"/>
    </xf>
    <xf numFmtId="164" fontId="13" fillId="26" borderId="48" xfId="28" applyNumberFormat="1" applyFont="1" applyFill="1" applyBorder="1" applyAlignment="1">
      <alignment horizontal="center" vertical="top" wrapText="1"/>
    </xf>
    <xf numFmtId="0" fontId="12" fillId="26" borderId="50" xfId="0" applyFont="1" applyFill="1" applyBorder="1" applyAlignment="1">
      <alignment horizontal="center"/>
    </xf>
    <xf numFmtId="10" fontId="13" fillId="26" borderId="48" xfId="42" applyNumberFormat="1" applyFont="1" applyFill="1" applyBorder="1" applyAlignment="1">
      <alignment horizontal="center"/>
    </xf>
    <xf numFmtId="10" fontId="12" fillId="26" borderId="50" xfId="0" applyNumberFormat="1" applyFont="1" applyFill="1" applyBorder="1" applyAlignment="1">
      <alignment horizontal="center"/>
    </xf>
    <xf numFmtId="164" fontId="13" fillId="26" borderId="48" xfId="28" applyNumberFormat="1" applyFont="1" applyFill="1" applyBorder="1" applyAlignment="1">
      <alignment horizontal="center"/>
    </xf>
    <xf numFmtId="164" fontId="12" fillId="26" borderId="48" xfId="0" applyNumberFormat="1" applyFont="1" applyFill="1" applyBorder="1" applyAlignment="1">
      <alignment horizontal="center"/>
    </xf>
    <xf numFmtId="0" fontId="13" fillId="26" borderId="46" xfId="0" applyFont="1" applyFill="1" applyBorder="1" applyAlignment="1">
      <alignment horizontal="left"/>
    </xf>
    <xf numFmtId="0" fontId="4" fillId="26" borderId="46" xfId="0" applyFont="1" applyFill="1" applyBorder="1" applyAlignment="1">
      <alignment horizontal="left" indent="1"/>
    </xf>
    <xf numFmtId="165" fontId="13" fillId="26" borderId="48" xfId="0" applyNumberFormat="1" applyFont="1" applyFill="1" applyBorder="1" applyAlignment="1">
      <alignment horizontal="center"/>
    </xf>
    <xf numFmtId="0" fontId="13" fillId="26" borderId="48" xfId="0" applyFont="1" applyFill="1" applyBorder="1" applyAlignment="1">
      <alignment horizontal="center"/>
    </xf>
    <xf numFmtId="10" fontId="13" fillId="26" borderId="50" xfId="0" applyNumberFormat="1" applyFont="1" applyFill="1" applyBorder="1" applyAlignment="1">
      <alignment horizontal="center"/>
    </xf>
    <xf numFmtId="164" fontId="13" fillId="26" borderId="48" xfId="0" applyNumberFormat="1" applyFont="1" applyFill="1" applyBorder="1" applyAlignment="1">
      <alignment horizontal="center"/>
    </xf>
    <xf numFmtId="0" fontId="13" fillId="24" borderId="46" xfId="0" applyFont="1" applyFill="1" applyBorder="1" applyAlignment="1">
      <alignment horizontal="left" indent="1"/>
    </xf>
    <xf numFmtId="6" fontId="13" fillId="26" borderId="48" xfId="0" applyNumberFormat="1" applyFont="1" applyFill="1" applyBorder="1" applyAlignment="1">
      <alignment horizontal="center"/>
    </xf>
    <xf numFmtId="0" fontId="12" fillId="24" borderId="19" xfId="0" applyFont="1" applyFill="1" applyBorder="1" applyAlignment="1">
      <alignment horizontal="left"/>
    </xf>
    <xf numFmtId="164" fontId="12" fillId="24" borderId="60" xfId="0" applyNumberFormat="1" applyFont="1" applyFill="1" applyBorder="1" applyAlignment="1">
      <alignment horizontal="center"/>
    </xf>
    <xf numFmtId="164" fontId="12" fillId="24" borderId="60" xfId="28" applyNumberFormat="1" applyFont="1" applyFill="1" applyBorder="1" applyAlignment="1">
      <alignment horizontal="center"/>
    </xf>
    <xf numFmtId="0" fontId="13" fillId="26" borderId="50" xfId="0" applyFont="1" applyFill="1" applyBorder="1" applyAlignment="1">
      <alignment horizontal="center"/>
    </xf>
    <xf numFmtId="164" fontId="13" fillId="26" borderId="65" xfId="28" applyNumberFormat="1" applyFont="1" applyFill="1" applyBorder="1" applyAlignment="1">
      <alignment horizontal="center"/>
    </xf>
    <xf numFmtId="164" fontId="13" fillId="26" borderId="65" xfId="0" applyNumberFormat="1" applyFont="1" applyFill="1" applyBorder="1" applyAlignment="1">
      <alignment horizontal="center"/>
    </xf>
    <xf numFmtId="10" fontId="13" fillId="26" borderId="66" xfId="0" applyNumberFormat="1" applyFont="1" applyFill="1" applyBorder="1" applyAlignment="1">
      <alignment horizontal="center"/>
    </xf>
    <xf numFmtId="0" fontId="13" fillId="26" borderId="46" xfId="0" applyFont="1" applyFill="1" applyBorder="1" applyAlignment="1">
      <alignment horizontal="left" indent="1"/>
    </xf>
    <xf numFmtId="0" fontId="13" fillId="26" borderId="67" xfId="0" applyFont="1" applyFill="1" applyBorder="1" applyAlignment="1">
      <alignment horizontal="left"/>
    </xf>
    <xf numFmtId="170" fontId="12" fillId="26" borderId="73" xfId="0" applyNumberFormat="1" applyFont="1" applyFill="1" applyBorder="1" applyAlignment="1">
      <alignment horizontal="left"/>
    </xf>
    <xf numFmtId="164" fontId="13" fillId="24" borderId="74" xfId="0" applyNumberFormat="1" applyFont="1" applyFill="1" applyBorder="1" applyAlignment="1">
      <alignment horizontal="center"/>
    </xf>
    <xf numFmtId="164" fontId="12" fillId="26" borderId="63" xfId="28" applyNumberFormat="1" applyFont="1" applyFill="1" applyBorder="1" applyAlignment="1">
      <alignment horizontal="center"/>
    </xf>
    <xf numFmtId="164" fontId="12" fillId="26" borderId="64" xfId="0" applyNumberFormat="1" applyFont="1" applyFill="1" applyBorder="1" applyAlignment="1">
      <alignment horizontal="center"/>
    </xf>
    <xf numFmtId="0" fontId="12" fillId="26" borderId="73" xfId="0" applyFont="1" applyFill="1" applyBorder="1" applyAlignment="1">
      <alignment horizontal="left" wrapText="1"/>
    </xf>
    <xf numFmtId="164" fontId="12" fillId="26" borderId="63" xfId="0" applyNumberFormat="1" applyFont="1" applyFill="1" applyBorder="1" applyAlignment="1">
      <alignment horizontal="center" vertical="top" wrapText="1"/>
    </xf>
    <xf numFmtId="0" fontId="13" fillId="24" borderId="45" xfId="0" applyFont="1" applyFill="1" applyBorder="1" applyAlignment="1">
      <alignment horizontal="left" wrapText="1" indent="1"/>
    </xf>
    <xf numFmtId="164" fontId="13" fillId="0" borderId="58" xfId="0" applyNumberFormat="1" applyFont="1" applyFill="1" applyBorder="1" applyAlignment="1">
      <alignment horizontal="center" vertical="top" wrapText="1"/>
    </xf>
    <xf numFmtId="0" fontId="13" fillId="24" borderId="67" xfId="0" applyFont="1" applyFill="1" applyBorder="1" applyAlignment="1">
      <alignment horizontal="left" indent="1"/>
    </xf>
    <xf numFmtId="170" fontId="52" fillId="26" borderId="46" xfId="0" applyNumberFormat="1" applyFont="1" applyFill="1" applyBorder="1" applyAlignment="1">
      <alignment horizontal="left"/>
    </xf>
    <xf numFmtId="164" fontId="52" fillId="26" borderId="48" xfId="28" applyNumberFormat="1" applyFont="1" applyFill="1" applyBorder="1" applyAlignment="1">
      <alignment horizontal="center"/>
    </xf>
    <xf numFmtId="164" fontId="52" fillId="26" borderId="50" xfId="0" applyNumberFormat="1" applyFont="1" applyFill="1" applyBorder="1" applyAlignment="1">
      <alignment horizontal="center"/>
    </xf>
    <xf numFmtId="170" fontId="52" fillId="26" borderId="51" xfId="0" applyNumberFormat="1" applyFont="1" applyFill="1" applyBorder="1" applyAlignment="1">
      <alignment horizontal="left"/>
    </xf>
    <xf numFmtId="164" fontId="52" fillId="26" borderId="52" xfId="28" applyNumberFormat="1" applyFont="1" applyFill="1" applyBorder="1" applyAlignment="1">
      <alignment horizontal="center"/>
    </xf>
    <xf numFmtId="164" fontId="52" fillId="26" borderId="54" xfId="0" applyNumberFormat="1" applyFont="1" applyFill="1" applyBorder="1" applyAlignment="1">
      <alignment horizontal="center"/>
    </xf>
    <xf numFmtId="0" fontId="13" fillId="24" borderId="51" xfId="0" applyFont="1" applyFill="1" applyBorder="1" applyAlignment="1">
      <alignment horizontal="left" indent="1"/>
    </xf>
    <xf numFmtId="164" fontId="13" fillId="0" borderId="75" xfId="0" applyNumberFormat="1" applyFont="1" applyFill="1" applyBorder="1" applyAlignment="1">
      <alignment horizontal="center" vertical="top" wrapText="1"/>
    </xf>
    <xf numFmtId="0" fontId="13" fillId="24" borderId="0" xfId="0" applyFont="1" applyFill="1" applyAlignment="1">
      <alignment horizontal="right"/>
    </xf>
    <xf numFmtId="10" fontId="13" fillId="24" borderId="48" xfId="42" applyNumberFormat="1" applyFont="1" applyFill="1" applyBorder="1" applyAlignment="1">
      <alignment horizontal="center"/>
    </xf>
    <xf numFmtId="10" fontId="13" fillId="26" borderId="48" xfId="0" applyNumberFormat="1" applyFont="1" applyFill="1" applyBorder="1" applyAlignment="1">
      <alignment horizontal="center"/>
    </xf>
    <xf numFmtId="0" fontId="63" fillId="24" borderId="0" xfId="0" applyFont="1" applyFill="1" applyBorder="1" applyAlignment="1">
      <alignment horizontal="right" vertical="center"/>
    </xf>
    <xf numFmtId="0" fontId="48" fillId="24" borderId="0" xfId="0" applyFont="1" applyFill="1" applyBorder="1" applyAlignment="1">
      <alignment horizontal="center" vertical="top"/>
    </xf>
    <xf numFmtId="10" fontId="15" fillId="28" borderId="41" xfId="0" applyNumberFormat="1" applyFont="1" applyFill="1" applyBorder="1" applyAlignment="1">
      <alignment horizontal="center"/>
    </xf>
    <xf numFmtId="10" fontId="8" fillId="25" borderId="20" xfId="0" applyNumberFormat="1" applyFont="1" applyFill="1" applyBorder="1" applyAlignment="1">
      <alignment horizontal="center" vertical="top"/>
    </xf>
    <xf numFmtId="10" fontId="42" fillId="29" borderId="0" xfId="35" applyNumberFormat="1" applyFont="1" applyFill="1" applyBorder="1" applyAlignment="1" applyProtection="1">
      <alignment horizontal="left" vertical="top"/>
    </xf>
    <xf numFmtId="0" fontId="21" fillId="24" borderId="0" xfId="0" applyNumberFormat="1" applyFont="1" applyFill="1" applyBorder="1" applyAlignment="1">
      <alignment horizontal="left"/>
    </xf>
    <xf numFmtId="164" fontId="68" fillId="37" borderId="48" xfId="0" applyNumberFormat="1" applyFont="1" applyFill="1" applyBorder="1" applyAlignment="1">
      <alignment horizontal="center" vertical="top"/>
    </xf>
    <xf numFmtId="0" fontId="68" fillId="37" borderId="48" xfId="0" applyFont="1" applyFill="1" applyBorder="1" applyAlignment="1">
      <alignment vertical="top"/>
    </xf>
    <xf numFmtId="1" fontId="69" fillId="38" borderId="48" xfId="0" applyNumberFormat="1" applyFont="1" applyFill="1" applyBorder="1" applyAlignment="1">
      <alignment horizontal="center" vertical="top"/>
    </xf>
    <xf numFmtId="0" fontId="69" fillId="24" borderId="48" xfId="0" applyFont="1" applyFill="1" applyBorder="1" applyAlignment="1">
      <alignment vertical="top"/>
    </xf>
    <xf numFmtId="1" fontId="7" fillId="0" borderId="48" xfId="0" applyNumberFormat="1" applyFont="1" applyFill="1" applyBorder="1" applyAlignment="1">
      <alignment horizontal="center" vertical="top"/>
    </xf>
    <xf numFmtId="167" fontId="69" fillId="38" borderId="48" xfId="28" applyNumberFormat="1" applyFont="1" applyFill="1" applyBorder="1" applyAlignment="1">
      <alignment vertical="top"/>
    </xf>
    <xf numFmtId="167" fontId="69" fillId="24" borderId="48" xfId="28" applyNumberFormat="1" applyFont="1" applyFill="1" applyBorder="1" applyAlignment="1">
      <alignment vertical="top"/>
    </xf>
    <xf numFmtId="167" fontId="69" fillId="38" borderId="48" xfId="0" applyNumberFormat="1" applyFont="1" applyFill="1" applyBorder="1" applyAlignment="1">
      <alignment vertical="top"/>
    </xf>
    <xf numFmtId="44" fontId="69" fillId="24" borderId="48" xfId="0" applyNumberFormat="1" applyFont="1" applyFill="1" applyBorder="1" applyAlignment="1">
      <alignment vertical="top"/>
    </xf>
    <xf numFmtId="1" fontId="7" fillId="0" borderId="48" xfId="0" applyNumberFormat="1" applyFont="1" applyBorder="1" applyAlignment="1">
      <alignment vertical="top"/>
    </xf>
    <xf numFmtId="164" fontId="21" fillId="38" borderId="26" xfId="0" applyNumberFormat="1" applyFont="1" applyFill="1" applyBorder="1" applyAlignment="1">
      <alignment horizontal="center" vertical="top"/>
    </xf>
    <xf numFmtId="164" fontId="21" fillId="38" borderId="11" xfId="0" applyNumberFormat="1" applyFont="1" applyFill="1" applyBorder="1" applyAlignment="1">
      <alignment horizontal="center" vertical="top"/>
    </xf>
    <xf numFmtId="164" fontId="21" fillId="38" borderId="27" xfId="0" applyNumberFormat="1" applyFont="1" applyFill="1" applyBorder="1" applyAlignment="1">
      <alignment horizontal="center" vertical="top"/>
    </xf>
    <xf numFmtId="9" fontId="21" fillId="38" borderId="11" xfId="42" applyFont="1" applyFill="1" applyBorder="1" applyAlignment="1">
      <alignment horizontal="center" vertical="top"/>
    </xf>
    <xf numFmtId="164" fontId="21" fillId="39" borderId="26" xfId="0" applyNumberFormat="1" applyFont="1" applyFill="1" applyBorder="1" applyAlignment="1">
      <alignment horizontal="center" vertical="top"/>
    </xf>
    <xf numFmtId="164" fontId="21" fillId="39" borderId="11" xfId="0" applyNumberFormat="1" applyFont="1" applyFill="1" applyBorder="1" applyAlignment="1">
      <alignment horizontal="center" vertical="top"/>
    </xf>
    <xf numFmtId="164" fontId="21" fillId="39" borderId="27" xfId="0" applyNumberFormat="1" applyFont="1" applyFill="1" applyBorder="1" applyAlignment="1">
      <alignment horizontal="center" vertical="top"/>
    </xf>
    <xf numFmtId="164" fontId="21" fillId="39" borderId="0" xfId="0" applyNumberFormat="1" applyFont="1" applyFill="1" applyBorder="1" applyAlignment="1">
      <alignment horizontal="center" vertical="top"/>
    </xf>
    <xf numFmtId="9" fontId="9" fillId="38" borderId="11" xfId="42" applyFont="1" applyFill="1" applyBorder="1" applyAlignment="1">
      <alignment horizontal="center" vertical="top"/>
    </xf>
    <xf numFmtId="9" fontId="9" fillId="38" borderId="0" xfId="42" applyFont="1" applyFill="1" applyBorder="1" applyAlignment="1">
      <alignment horizontal="center" vertical="top"/>
    </xf>
    <xf numFmtId="164" fontId="39" fillId="38" borderId="11" xfId="0" applyNumberFormat="1" applyFont="1" applyFill="1" applyBorder="1" applyAlignment="1">
      <alignment horizontal="center" vertical="top"/>
    </xf>
    <xf numFmtId="6" fontId="21" fillId="38" borderId="11" xfId="0" applyNumberFormat="1" applyFont="1" applyFill="1" applyBorder="1" applyAlignment="1">
      <alignment horizontal="center" vertical="top"/>
    </xf>
    <xf numFmtId="10" fontId="21" fillId="38" borderId="12" xfId="0" applyNumberFormat="1" applyFont="1" applyFill="1" applyBorder="1" applyAlignment="1">
      <alignment horizontal="center" vertical="top"/>
    </xf>
    <xf numFmtId="164" fontId="19" fillId="38" borderId="11" xfId="0" applyNumberFormat="1" applyFont="1" applyFill="1" applyBorder="1" applyAlignment="1">
      <alignment horizontal="center" vertical="top"/>
    </xf>
    <xf numFmtId="10" fontId="21" fillId="38" borderId="0" xfId="0" applyNumberFormat="1" applyFont="1" applyFill="1" applyBorder="1" applyAlignment="1">
      <alignment horizontal="center" vertical="top"/>
    </xf>
    <xf numFmtId="164" fontId="19" fillId="38" borderId="12" xfId="0" applyNumberFormat="1" applyFont="1" applyFill="1" applyBorder="1" applyAlignment="1">
      <alignment horizontal="center" vertical="top"/>
    </xf>
    <xf numFmtId="10" fontId="21" fillId="38" borderId="11" xfId="0" applyNumberFormat="1" applyFont="1" applyFill="1" applyBorder="1" applyAlignment="1">
      <alignment horizontal="center" vertical="top"/>
    </xf>
    <xf numFmtId="1" fontId="21" fillId="38" borderId="11" xfId="0" applyNumberFormat="1" applyFont="1" applyFill="1" applyBorder="1" applyAlignment="1">
      <alignment horizontal="center" vertical="top"/>
    </xf>
    <xf numFmtId="10" fontId="9" fillId="38" borderId="11" xfId="0" applyNumberFormat="1" applyFont="1" applyFill="1" applyBorder="1" applyAlignment="1">
      <alignment horizontal="center" vertical="top"/>
    </xf>
    <xf numFmtId="1" fontId="9" fillId="38" borderId="11" xfId="0" applyNumberFormat="1" applyFont="1" applyFill="1" applyBorder="1" applyAlignment="1">
      <alignment horizontal="center" vertical="top"/>
    </xf>
    <xf numFmtId="0" fontId="7" fillId="0" borderId="71" xfId="0" applyFont="1" applyBorder="1" applyAlignment="1">
      <alignment vertical="top"/>
    </xf>
    <xf numFmtId="171" fontId="19" fillId="29" borderId="48" xfId="0" applyNumberFormat="1" applyFont="1" applyFill="1" applyBorder="1" applyAlignment="1">
      <alignment vertical="top"/>
    </xf>
    <xf numFmtId="171" fontId="19" fillId="29" borderId="48" xfId="28" applyNumberFormat="1" applyFont="1" applyFill="1" applyBorder="1" applyAlignment="1">
      <alignment vertical="top"/>
    </xf>
    <xf numFmtId="9" fontId="19" fillId="29" borderId="48" xfId="42" applyFont="1" applyFill="1" applyBorder="1" applyAlignment="1">
      <alignment vertical="top"/>
    </xf>
    <xf numFmtId="0" fontId="8" fillId="29" borderId="48" xfId="0" quotePrefix="1" applyFont="1" applyFill="1" applyBorder="1" applyAlignment="1">
      <alignment vertical="top"/>
    </xf>
    <xf numFmtId="9" fontId="21" fillId="38" borderId="12" xfId="0" applyNumberFormat="1" applyFont="1" applyFill="1" applyBorder="1" applyAlignment="1">
      <alignment horizontal="center"/>
    </xf>
    <xf numFmtId="165" fontId="21" fillId="38" borderId="12" xfId="0" applyNumberFormat="1" applyFont="1" applyFill="1" applyBorder="1"/>
    <xf numFmtId="10" fontId="21" fillId="38" borderId="0" xfId="0" applyNumberFormat="1" applyFont="1" applyFill="1" applyBorder="1" applyAlignment="1">
      <alignment horizontal="left"/>
    </xf>
    <xf numFmtId="9" fontId="21" fillId="38" borderId="27" xfId="0" applyNumberFormat="1" applyFont="1" applyFill="1" applyBorder="1" applyAlignment="1">
      <alignment horizontal="left"/>
    </xf>
    <xf numFmtId="165" fontId="21" fillId="38" borderId="0" xfId="0" applyNumberFormat="1" applyFont="1" applyFill="1" applyBorder="1" applyAlignment="1">
      <alignment horizontal="left"/>
    </xf>
    <xf numFmtId="6" fontId="14" fillId="38" borderId="0" xfId="0" applyNumberFormat="1" applyFont="1" applyFill="1" applyAlignment="1">
      <alignment horizontal="center" vertical="top"/>
    </xf>
    <xf numFmtId="165" fontId="14" fillId="38" borderId="0" xfId="0" applyNumberFormat="1" applyFont="1" applyFill="1" applyBorder="1" applyAlignment="1">
      <alignment horizontal="center"/>
    </xf>
    <xf numFmtId="0" fontId="69" fillId="41" borderId="48" xfId="0" applyFont="1" applyFill="1" applyBorder="1" applyAlignment="1">
      <alignment vertical="top"/>
    </xf>
    <xf numFmtId="164" fontId="7" fillId="41" borderId="0" xfId="0" applyNumberFormat="1" applyFont="1" applyFill="1" applyAlignment="1">
      <alignment horizontal="center" vertical="top"/>
    </xf>
    <xf numFmtId="164" fontId="7" fillId="42" borderId="0" xfId="0" applyNumberFormat="1" applyFont="1" applyFill="1" applyAlignment="1">
      <alignment horizontal="center" vertical="top"/>
    </xf>
    <xf numFmtId="0" fontId="69" fillId="42" borderId="48" xfId="0" applyFont="1" applyFill="1" applyBorder="1" applyAlignment="1">
      <alignment vertical="top"/>
    </xf>
    <xf numFmtId="164" fontId="7" fillId="24" borderId="0" xfId="0" applyNumberFormat="1" applyFont="1" applyFill="1"/>
    <xf numFmtId="164" fontId="7" fillId="41" borderId="0" xfId="0" applyNumberFormat="1" applyFont="1" applyFill="1" applyBorder="1" applyAlignment="1">
      <alignment horizontal="center" vertical="top"/>
    </xf>
    <xf numFmtId="164" fontId="9" fillId="41" borderId="0" xfId="0" applyNumberFormat="1" applyFont="1" applyFill="1" applyBorder="1" applyAlignment="1">
      <alignment horizontal="center"/>
    </xf>
    <xf numFmtId="164" fontId="21" fillId="41" borderId="11" xfId="0" applyNumberFormat="1" applyFont="1" applyFill="1" applyBorder="1" applyAlignment="1">
      <alignment horizontal="center" vertical="top"/>
    </xf>
    <xf numFmtId="1" fontId="19" fillId="29" borderId="0" xfId="0" applyNumberFormat="1" applyFont="1" applyFill="1" applyBorder="1" applyAlignment="1">
      <alignment horizontal="center"/>
    </xf>
    <xf numFmtId="0" fontId="8" fillId="43" borderId="48" xfId="0" applyFont="1" applyFill="1" applyBorder="1" applyAlignment="1">
      <alignment horizontal="left"/>
    </xf>
    <xf numFmtId="164" fontId="8" fillId="43" borderId="48" xfId="0" applyNumberFormat="1" applyFont="1" applyFill="1" applyBorder="1" applyAlignment="1">
      <alignment horizontal="center"/>
    </xf>
    <xf numFmtId="0" fontId="8" fillId="44" borderId="48" xfId="0" applyFont="1" applyFill="1" applyBorder="1"/>
    <xf numFmtId="0" fontId="8" fillId="29" borderId="48" xfId="0" applyFont="1" applyFill="1" applyBorder="1" applyAlignment="1">
      <alignment horizontal="left"/>
    </xf>
    <xf numFmtId="1" fontId="19" fillId="29" borderId="48" xfId="0" applyNumberFormat="1" applyFont="1" applyFill="1" applyBorder="1" applyAlignment="1">
      <alignment horizontal="center"/>
    </xf>
    <xf numFmtId="164" fontId="19" fillId="29" borderId="48" xfId="0" applyNumberFormat="1" applyFont="1" applyFill="1" applyBorder="1" applyAlignment="1">
      <alignment horizontal="center"/>
    </xf>
    <xf numFmtId="0" fontId="7" fillId="29" borderId="48" xfId="0" applyFont="1" applyFill="1" applyBorder="1" applyAlignment="1">
      <alignment horizontal="left"/>
    </xf>
    <xf numFmtId="0" fontId="8" fillId="24" borderId="58" xfId="0" applyFont="1" applyFill="1" applyBorder="1"/>
    <xf numFmtId="0" fontId="19" fillId="24" borderId="58" xfId="0" applyFont="1" applyFill="1" applyBorder="1"/>
    <xf numFmtId="1" fontId="19" fillId="29" borderId="58" xfId="0" applyNumberFormat="1" applyFont="1" applyFill="1" applyBorder="1" applyAlignment="1">
      <alignment horizontal="center"/>
    </xf>
    <xf numFmtId="164" fontId="19" fillId="29" borderId="58" xfId="0" applyNumberFormat="1" applyFont="1" applyFill="1" applyBorder="1" applyAlignment="1">
      <alignment horizontal="center"/>
    </xf>
    <xf numFmtId="0" fontId="8" fillId="29" borderId="76" xfId="0" applyFont="1" applyFill="1" applyBorder="1" applyAlignment="1">
      <alignment horizontal="left"/>
    </xf>
    <xf numFmtId="0" fontId="7" fillId="29" borderId="76" xfId="0" applyFont="1" applyFill="1" applyBorder="1" applyAlignment="1">
      <alignment horizontal="left"/>
    </xf>
    <xf numFmtId="1" fontId="19" fillId="29" borderId="76" xfId="0" applyNumberFormat="1" applyFont="1" applyFill="1" applyBorder="1" applyAlignment="1">
      <alignment horizontal="center"/>
    </xf>
    <xf numFmtId="164" fontId="19" fillId="29" borderId="76" xfId="0" applyNumberFormat="1" applyFont="1" applyFill="1" applyBorder="1" applyAlignment="1">
      <alignment horizontal="center"/>
    </xf>
    <xf numFmtId="9" fontId="19" fillId="29" borderId="48" xfId="42" applyFont="1" applyFill="1" applyBorder="1" applyAlignment="1">
      <alignment horizontal="center"/>
    </xf>
    <xf numFmtId="164" fontId="8" fillId="45" borderId="48" xfId="0" applyNumberFormat="1" applyFont="1" applyFill="1" applyBorder="1" applyAlignment="1">
      <alignment horizontal="center"/>
    </xf>
    <xf numFmtId="171" fontId="9" fillId="24" borderId="14" xfId="0" applyNumberFormat="1" applyFont="1" applyFill="1" applyBorder="1" applyAlignment="1">
      <alignment horizontal="center" vertical="top"/>
    </xf>
    <xf numFmtId="10" fontId="7" fillId="39" borderId="0" xfId="0" applyNumberFormat="1" applyFont="1" applyFill="1" applyBorder="1" applyAlignment="1">
      <alignment horizontal="center" vertical="top"/>
    </xf>
    <xf numFmtId="172" fontId="20" fillId="29" borderId="0" xfId="0" applyNumberFormat="1" applyFont="1" applyFill="1" applyBorder="1" applyAlignment="1">
      <alignment horizontal="left"/>
    </xf>
    <xf numFmtId="164" fontId="8" fillId="25" borderId="20" xfId="0" applyNumberFormat="1" applyFont="1" applyFill="1" applyBorder="1" applyAlignment="1">
      <alignment horizontal="left" vertical="top"/>
    </xf>
    <xf numFmtId="9" fontId="7" fillId="24" borderId="0" xfId="0" applyNumberFormat="1" applyFont="1" applyFill="1" applyBorder="1" applyAlignment="1">
      <alignment horizontal="left"/>
    </xf>
    <xf numFmtId="0" fontId="65" fillId="25" borderId="45" xfId="0" applyFont="1" applyFill="1" applyBorder="1" applyAlignment="1">
      <alignment horizontal="left" vertical="center" wrapText="1"/>
    </xf>
    <xf numFmtId="0" fontId="0" fillId="0" borderId="58" xfId="0" applyBorder="1" applyAlignment="1">
      <alignment vertical="center"/>
    </xf>
    <xf numFmtId="0" fontId="0" fillId="0" borderId="59" xfId="0" applyBorder="1" applyAlignment="1">
      <alignment vertical="center"/>
    </xf>
    <xf numFmtId="0" fontId="65" fillId="25" borderId="46" xfId="0" applyFont="1" applyFill="1" applyBorder="1" applyAlignment="1">
      <alignment horizontal="left" vertical="center" wrapText="1"/>
    </xf>
    <xf numFmtId="0" fontId="0" fillId="0" borderId="48" xfId="0" applyBorder="1" applyAlignment="1">
      <alignment vertical="center"/>
    </xf>
    <xf numFmtId="0" fontId="0" fillId="0" borderId="50" xfId="0" applyBorder="1" applyAlignment="1">
      <alignment vertical="center"/>
    </xf>
    <xf numFmtId="0" fontId="63" fillId="0" borderId="51" xfId="0" applyFont="1" applyFill="1" applyBorder="1" applyAlignment="1">
      <alignment horizontal="left" vertical="center" wrapText="1"/>
    </xf>
    <xf numFmtId="0" fontId="63" fillId="0" borderId="52" xfId="0" applyFont="1" applyBorder="1" applyAlignment="1">
      <alignment vertical="center" wrapText="1"/>
    </xf>
    <xf numFmtId="0" fontId="0" fillId="0" borderId="54" xfId="0" applyBorder="1" applyAlignment="1">
      <alignment vertical="center" wrapText="1"/>
    </xf>
    <xf numFmtId="0" fontId="63" fillId="0" borderId="46" xfId="0" applyFont="1" applyFill="1" applyBorder="1" applyAlignment="1">
      <alignment horizontal="left" vertical="center" wrapText="1"/>
    </xf>
    <xf numFmtId="0" fontId="63" fillId="0" borderId="48" xfId="0" applyFont="1" applyBorder="1" applyAlignment="1">
      <alignment vertical="center" wrapText="1"/>
    </xf>
    <xf numFmtId="0" fontId="0" fillId="0" borderId="50" xfId="0" applyBorder="1" applyAlignment="1">
      <alignment vertical="center" wrapText="1"/>
    </xf>
    <xf numFmtId="0" fontId="65" fillId="26" borderId="46" xfId="0" applyFont="1" applyFill="1" applyBorder="1" applyAlignment="1">
      <alignment horizontal="left" vertical="center" wrapText="1"/>
    </xf>
    <xf numFmtId="0" fontId="42" fillId="26" borderId="21" xfId="35" applyFont="1" applyFill="1" applyBorder="1" applyAlignment="1" applyProtection="1">
      <alignment horizontal="center" vertical="center" wrapText="1"/>
    </xf>
    <xf numFmtId="0" fontId="42" fillId="26" borderId="22" xfId="35" applyFont="1" applyFill="1" applyBorder="1" applyAlignment="1" applyProtection="1">
      <alignment horizontal="center" vertical="center" wrapText="1"/>
    </xf>
    <xf numFmtId="0" fontId="42" fillId="26" borderId="22" xfId="35" applyFont="1" applyFill="1" applyBorder="1" applyAlignment="1" applyProtection="1">
      <alignment horizontal="center" vertical="center"/>
    </xf>
    <xf numFmtId="0" fontId="42" fillId="0" borderId="44" xfId="35" applyFont="1" applyBorder="1" applyAlignment="1" applyProtection="1">
      <alignment horizontal="center" vertical="center"/>
    </xf>
    <xf numFmtId="0" fontId="63" fillId="24" borderId="0" xfId="0" applyFont="1" applyFill="1" applyBorder="1" applyAlignment="1">
      <alignment horizontal="left" vertical="center" wrapText="1"/>
    </xf>
    <xf numFmtId="0" fontId="0" fillId="0" borderId="12" xfId="0" applyBorder="1" applyAlignment="1">
      <alignment vertical="center"/>
    </xf>
    <xf numFmtId="0" fontId="65" fillId="25" borderId="21" xfId="0" applyFont="1" applyFill="1" applyBorder="1" applyAlignment="1">
      <alignment horizontal="left" vertical="center" wrapText="1"/>
    </xf>
    <xf numFmtId="0" fontId="65" fillId="25" borderId="22" xfId="0" applyFont="1" applyFill="1" applyBorder="1" applyAlignment="1">
      <alignment horizontal="left" vertical="center" wrapText="1"/>
    </xf>
    <xf numFmtId="0" fontId="63" fillId="25" borderId="22" xfId="0" applyFont="1" applyFill="1" applyBorder="1" applyAlignment="1">
      <alignment vertical="center"/>
    </xf>
    <xf numFmtId="0" fontId="0" fillId="0" borderId="44" xfId="0" applyBorder="1" applyAlignment="1">
      <alignment vertical="center"/>
    </xf>
    <xf numFmtId="0" fontId="65" fillId="25" borderId="46" xfId="0" applyFont="1" applyFill="1" applyBorder="1" applyAlignment="1">
      <alignment horizontal="left" vertical="center"/>
    </xf>
    <xf numFmtId="0" fontId="63" fillId="25" borderId="48" xfId="0" applyFont="1" applyFill="1" applyBorder="1" applyAlignment="1">
      <alignment vertical="center"/>
    </xf>
    <xf numFmtId="0" fontId="41" fillId="27" borderId="26" xfId="0" applyFont="1" applyFill="1" applyBorder="1" applyAlignment="1">
      <alignment horizontal="center" vertical="top"/>
    </xf>
    <xf numFmtId="0" fontId="0" fillId="27" borderId="27" xfId="0" applyFill="1" applyBorder="1" applyAlignment="1">
      <alignment horizontal="center" vertical="top"/>
    </xf>
    <xf numFmtId="0" fontId="0" fillId="0" borderId="28" xfId="0" applyBorder="1" applyAlignment="1">
      <alignment horizontal="center" vertical="top"/>
    </xf>
    <xf numFmtId="0" fontId="41" fillId="27" borderId="16" xfId="0" applyFont="1" applyFill="1" applyBorder="1" applyAlignment="1">
      <alignment horizontal="center" vertical="top"/>
    </xf>
    <xf numFmtId="0" fontId="0" fillId="0" borderId="10" xfId="0" applyBorder="1" applyAlignment="1">
      <alignment horizontal="center" vertical="top"/>
    </xf>
    <xf numFmtId="0" fontId="63" fillId="0" borderId="14" xfId="0" applyFont="1" applyBorder="1" applyAlignment="1">
      <alignment vertical="center" wrapText="1"/>
    </xf>
    <xf numFmtId="0" fontId="0" fillId="0" borderId="15" xfId="0" applyBorder="1" applyAlignment="1">
      <alignment vertical="center"/>
    </xf>
    <xf numFmtId="0" fontId="63" fillId="0" borderId="48" xfId="0" applyFont="1" applyBorder="1" applyAlignment="1">
      <alignment vertical="center"/>
    </xf>
    <xf numFmtId="0" fontId="65" fillId="26" borderId="48" xfId="0" applyFont="1" applyFill="1" applyBorder="1" applyAlignment="1">
      <alignment horizontal="left" vertical="center" wrapText="1"/>
    </xf>
    <xf numFmtId="0" fontId="65" fillId="26" borderId="48" xfId="0" applyFont="1" applyFill="1" applyBorder="1" applyAlignment="1">
      <alignment vertical="center" wrapText="1"/>
    </xf>
    <xf numFmtId="0" fontId="65" fillId="26" borderId="48" xfId="0" applyFont="1" applyFill="1" applyBorder="1" applyAlignment="1">
      <alignment vertical="center"/>
    </xf>
    <xf numFmtId="0" fontId="63" fillId="24" borderId="46" xfId="0" applyFont="1" applyFill="1" applyBorder="1" applyAlignment="1">
      <alignment horizontal="left" vertical="center" wrapText="1"/>
    </xf>
    <xf numFmtId="0" fontId="65" fillId="24" borderId="48" xfId="0" applyFont="1" applyFill="1" applyBorder="1" applyAlignment="1">
      <alignment horizontal="left" vertical="center" wrapText="1"/>
    </xf>
    <xf numFmtId="0" fontId="63" fillId="24" borderId="48" xfId="0" applyFont="1" applyFill="1" applyBorder="1" applyAlignment="1">
      <alignment vertical="center"/>
    </xf>
    <xf numFmtId="0" fontId="65" fillId="25" borderId="44" xfId="0" applyFont="1" applyFill="1" applyBorder="1" applyAlignment="1">
      <alignment horizontal="left" vertical="center" wrapText="1"/>
    </xf>
    <xf numFmtId="0" fontId="65" fillId="25" borderId="48" xfId="0" applyFont="1" applyFill="1" applyBorder="1" applyAlignment="1">
      <alignment horizontal="left" vertical="center" wrapText="1"/>
    </xf>
    <xf numFmtId="0" fontId="65" fillId="25" borderId="73" xfId="0" applyFont="1" applyFill="1" applyBorder="1" applyAlignment="1">
      <alignment horizontal="left" vertical="center" wrapText="1"/>
    </xf>
    <xf numFmtId="0" fontId="65" fillId="25" borderId="63" xfId="0" applyFont="1" applyFill="1" applyBorder="1" applyAlignment="1">
      <alignment horizontal="left" vertical="center" wrapText="1"/>
    </xf>
    <xf numFmtId="0" fontId="63" fillId="25" borderId="63" xfId="0" applyFont="1" applyFill="1" applyBorder="1" applyAlignment="1">
      <alignment vertical="center"/>
    </xf>
    <xf numFmtId="0" fontId="0" fillId="0" borderId="64" xfId="0" applyBorder="1" applyAlignment="1">
      <alignment vertical="center"/>
    </xf>
    <xf numFmtId="0" fontId="41" fillId="27" borderId="0" xfId="39" applyFont="1" applyFill="1" applyAlignment="1" applyProtection="1">
      <alignment horizontal="center" vertical="top"/>
    </xf>
    <xf numFmtId="0" fontId="0" fillId="0" borderId="0" xfId="0" applyAlignment="1">
      <alignment horizontal="center" vertical="top"/>
    </xf>
    <xf numFmtId="0" fontId="8" fillId="26" borderId="37" xfId="0" applyFont="1" applyFill="1" applyBorder="1" applyAlignment="1">
      <alignment horizontal="center" vertical="top"/>
    </xf>
    <xf numFmtId="0" fontId="19" fillId="26" borderId="29" xfId="0" applyFont="1" applyFill="1" applyBorder="1" applyAlignment="1">
      <alignment vertical="top"/>
    </xf>
    <xf numFmtId="0" fontId="20" fillId="0" borderId="48" xfId="0" applyFont="1" applyBorder="1" applyAlignment="1">
      <alignment horizontal="center" vertical="top" wrapText="1"/>
    </xf>
    <xf numFmtId="0" fontId="20" fillId="25" borderId="38" xfId="0" applyFont="1" applyFill="1" applyBorder="1" applyAlignment="1">
      <alignment horizontal="center" vertical="top" wrapText="1"/>
    </xf>
    <xf numFmtId="0" fontId="19" fillId="25" borderId="58" xfId="0" applyFont="1" applyFill="1" applyBorder="1" applyAlignment="1">
      <alignment horizontal="center" vertical="top" wrapText="1"/>
    </xf>
    <xf numFmtId="0" fontId="0" fillId="25" borderId="58" xfId="0" applyFill="1" applyBorder="1" applyAlignment="1">
      <alignment horizontal="center" vertical="top" wrapText="1"/>
    </xf>
    <xf numFmtId="0" fontId="20" fillId="25" borderId="58" xfId="0" applyFont="1" applyFill="1" applyBorder="1" applyAlignment="1">
      <alignment horizontal="center" vertical="top" wrapText="1"/>
    </xf>
    <xf numFmtId="164" fontId="68" fillId="37" borderId="37" xfId="0" applyNumberFormat="1" applyFont="1" applyFill="1" applyBorder="1" applyAlignment="1">
      <alignment horizontal="center" vertical="top"/>
    </xf>
    <xf numFmtId="164" fontId="68" fillId="37" borderId="10" xfId="0" applyNumberFormat="1" applyFont="1" applyFill="1" applyBorder="1" applyAlignment="1">
      <alignment horizontal="center" vertical="top"/>
    </xf>
    <xf numFmtId="0" fontId="0" fillId="0" borderId="0" xfId="0" applyAlignment="1"/>
    <xf numFmtId="0" fontId="8" fillId="40" borderId="48" xfId="0" applyFont="1" applyFill="1" applyBorder="1" applyAlignment="1">
      <alignment horizontal="center" vertical="top"/>
    </xf>
    <xf numFmtId="164" fontId="8" fillId="43" borderId="48" xfId="0" applyNumberFormat="1" applyFont="1" applyFill="1" applyBorder="1" applyAlignment="1">
      <alignment horizontal="center"/>
    </xf>
    <xf numFmtId="0" fontId="12" fillId="26" borderId="13" xfId="0" applyFont="1" applyFill="1" applyBorder="1" applyAlignment="1">
      <alignment horizontal="left" vertical="top" wrapText="1"/>
    </xf>
    <xf numFmtId="0" fontId="12" fillId="26" borderId="14" xfId="0" applyFont="1" applyFill="1" applyBorder="1" applyAlignment="1">
      <alignment horizontal="left" vertical="top" wrapText="1"/>
    </xf>
    <xf numFmtId="6" fontId="7" fillId="24" borderId="11" xfId="0" applyNumberFormat="1" applyFont="1" applyFill="1" applyBorder="1" applyAlignment="1">
      <alignment horizontal="left" vertical="center" wrapText="1" indent="1"/>
    </xf>
    <xf numFmtId="0" fontId="12" fillId="26" borderId="23" xfId="0" applyFont="1" applyFill="1" applyBorder="1" applyAlignment="1">
      <alignment horizontal="left" vertical="center" wrapText="1"/>
    </xf>
    <xf numFmtId="0" fontId="12" fillId="26" borderId="24" xfId="0" applyFont="1" applyFill="1" applyBorder="1" applyAlignment="1">
      <alignment horizontal="left" vertical="center" wrapText="1"/>
    </xf>
    <xf numFmtId="0" fontId="15" fillId="28" borderId="40" xfId="0" applyFont="1" applyFill="1" applyBorder="1" applyAlignment="1">
      <alignment horizontal="left" wrapText="1"/>
    </xf>
    <xf numFmtId="0" fontId="15" fillId="28" borderId="43" xfId="0" applyFont="1" applyFill="1" applyBorder="1" applyAlignment="1">
      <alignment horizontal="left" wrapText="1"/>
    </xf>
    <xf numFmtId="0" fontId="15" fillId="28" borderId="23" xfId="0" applyFont="1" applyFill="1" applyBorder="1" applyAlignment="1">
      <alignment horizontal="left" wrapText="1"/>
    </xf>
    <xf numFmtId="0" fontId="15" fillId="28" borderId="24" xfId="0" applyFont="1" applyFill="1" applyBorder="1" applyAlignment="1">
      <alignment horizontal="left" wrapText="1"/>
    </xf>
    <xf numFmtId="0" fontId="0" fillId="27" borderId="0" xfId="0" applyFill="1" applyAlignment="1">
      <alignment horizontal="center" vertical="top"/>
    </xf>
    <xf numFmtId="0" fontId="12" fillId="24" borderId="0" xfId="0" applyFont="1" applyFill="1" applyAlignment="1">
      <alignment horizontal="left" vertical="top"/>
    </xf>
    <xf numFmtId="0" fontId="13" fillId="24" borderId="0" xfId="0" applyFont="1" applyFill="1" applyAlignment="1">
      <alignment vertical="top"/>
    </xf>
    <xf numFmtId="0" fontId="13" fillId="24" borderId="14" xfId="0" applyFont="1" applyFill="1" applyBorder="1" applyAlignment="1">
      <alignment vertical="top"/>
    </xf>
    <xf numFmtId="0" fontId="52" fillId="29" borderId="0" xfId="0" applyFont="1" applyFill="1" applyBorder="1" applyAlignment="1">
      <alignment horizontal="left" vertical="top"/>
    </xf>
    <xf numFmtId="0" fontId="1" fillId="0" borderId="0" xfId="0" applyFont="1" applyBorder="1"/>
    <xf numFmtId="0" fontId="0" fillId="27" borderId="0" xfId="0" applyFill="1" applyAlignment="1"/>
    <xf numFmtId="0" fontId="41" fillId="27" borderId="0" xfId="39" applyFont="1" applyFill="1" applyBorder="1" applyAlignment="1" applyProtection="1">
      <alignment horizontal="center" vertical="top"/>
    </xf>
    <xf numFmtId="0" fontId="0" fillId="27" borderId="0" xfId="0" applyFill="1" applyBorder="1" applyAlignment="1">
      <alignment horizontal="center" vertical="top"/>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_simple-amortization" xfId="39" xr:uid="{00000000-0005-0000-0000-000027000000}"/>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s>
  <dxfs count="73">
    <dxf>
      <fill>
        <patternFill>
          <bgColor indexed="26"/>
        </patternFill>
      </fill>
    </dxf>
    <dxf>
      <fill>
        <patternFill>
          <bgColor indexed="26"/>
        </patternFill>
      </fill>
    </dxf>
    <dxf>
      <fill>
        <patternFill patternType="none"/>
      </fill>
      <border>
        <left/>
        <right/>
        <top/>
        <bottom/>
      </border>
    </dxf>
    <dxf>
      <fill>
        <patternFill>
          <bgColor indexed="13"/>
        </patternFill>
      </fill>
    </dxf>
    <dxf>
      <fill>
        <patternFill>
          <bgColor indexed="13"/>
        </patternFill>
      </fill>
    </dxf>
    <dxf>
      <fill>
        <patternFill>
          <bgColor indexed="29"/>
        </patternFill>
      </fill>
    </dxf>
    <dxf>
      <fill>
        <patternFill>
          <bgColor indexed="11"/>
        </patternFill>
      </fill>
    </dxf>
    <dxf>
      <fill>
        <patternFill>
          <bgColor indexed="11"/>
        </patternFill>
      </fill>
    </dxf>
    <dxf>
      <fill>
        <patternFill>
          <bgColor indexed="29"/>
        </patternFill>
      </fill>
    </dxf>
    <dxf>
      <fill>
        <patternFill>
          <bgColor indexed="29"/>
        </patternFill>
      </fill>
    </dxf>
    <dxf>
      <fill>
        <patternFill>
          <bgColor indexed="11"/>
        </patternFill>
      </fill>
    </dxf>
    <dxf>
      <fill>
        <patternFill>
          <bgColor indexed="29"/>
        </patternFill>
      </fill>
    </dxf>
    <dxf>
      <fill>
        <patternFill>
          <bgColor indexed="11"/>
        </patternFill>
      </fill>
    </dxf>
    <dxf>
      <fill>
        <patternFill>
          <bgColor indexed="13"/>
        </patternFill>
      </fill>
    </dxf>
    <dxf>
      <fill>
        <patternFill>
          <bgColor indexed="13"/>
        </patternFill>
      </fill>
    </dxf>
    <dxf>
      <font>
        <color auto="1"/>
        <name val="Calibri Light"/>
        <scheme val="none"/>
      </font>
      <fill>
        <patternFill>
          <bgColor indexed="11"/>
        </patternFill>
      </fill>
    </dxf>
    <dxf>
      <font>
        <color auto="1"/>
        <name val="Calibri Light"/>
        <scheme val="none"/>
      </font>
      <fill>
        <patternFill>
          <bgColor indexed="29"/>
        </patternFill>
      </fill>
    </dxf>
    <dxf>
      <fill>
        <patternFill>
          <bgColor indexed="29"/>
        </patternFill>
      </fill>
    </dxf>
    <dxf>
      <fill>
        <patternFill>
          <bgColor indexed="11"/>
        </patternFill>
      </fill>
    </dxf>
    <dxf>
      <fill>
        <patternFill>
          <bgColor indexed="29"/>
        </patternFill>
      </fill>
    </dxf>
    <dxf>
      <fill>
        <patternFill>
          <bgColor indexed="11"/>
        </patternFill>
      </fill>
    </dxf>
    <dxf>
      <fill>
        <patternFill>
          <bgColor indexed="11"/>
        </patternFill>
      </fill>
    </dxf>
    <dxf>
      <fill>
        <patternFill>
          <bgColor indexed="29"/>
        </patternFill>
      </fill>
    </dxf>
    <dxf>
      <fill>
        <patternFill>
          <bgColor indexed="11"/>
        </patternFill>
      </fill>
    </dxf>
    <dxf>
      <fill>
        <patternFill>
          <bgColor indexed="29"/>
        </patternFill>
      </fill>
    </dxf>
    <dxf>
      <fill>
        <patternFill>
          <bgColor indexed="11"/>
        </patternFill>
      </fill>
    </dxf>
    <dxf>
      <fill>
        <patternFill>
          <bgColor indexed="29"/>
        </patternFill>
      </fill>
    </dxf>
    <dxf>
      <fill>
        <patternFill>
          <bgColor indexed="13"/>
        </patternFill>
      </fill>
    </dxf>
    <dxf>
      <fill>
        <patternFill>
          <bgColor indexed="13"/>
        </patternFill>
      </fill>
    </dxf>
    <dxf>
      <fill>
        <patternFill>
          <bgColor indexed="11"/>
        </patternFill>
      </fill>
    </dxf>
    <dxf>
      <fill>
        <patternFill>
          <bgColor indexed="29"/>
        </patternFill>
      </fill>
    </dxf>
    <dxf>
      <fill>
        <patternFill>
          <bgColor indexed="11"/>
        </patternFill>
      </fill>
    </dxf>
    <dxf>
      <fill>
        <patternFill>
          <bgColor indexed="29"/>
        </patternFill>
      </fill>
    </dxf>
    <dxf>
      <fill>
        <patternFill>
          <bgColor indexed="11"/>
        </patternFill>
      </fill>
    </dxf>
    <dxf>
      <fill>
        <patternFill>
          <bgColor indexed="29"/>
        </patternFill>
      </fill>
    </dxf>
    <dxf>
      <fill>
        <patternFill>
          <bgColor indexed="29"/>
        </patternFill>
      </fill>
    </dxf>
    <dxf>
      <fill>
        <patternFill>
          <bgColor indexed="11"/>
        </patternFill>
      </fill>
    </dxf>
    <dxf>
      <fill>
        <patternFill>
          <bgColor indexed="11"/>
        </patternFill>
      </fill>
    </dxf>
    <dxf>
      <fill>
        <patternFill>
          <bgColor indexed="29"/>
        </patternFill>
      </fill>
    </dxf>
    <dxf>
      <fill>
        <patternFill>
          <bgColor indexed="11"/>
        </patternFill>
      </fill>
    </dxf>
    <dxf>
      <fill>
        <patternFill>
          <bgColor indexed="29"/>
        </patternFill>
      </fill>
    </dxf>
    <dxf>
      <fill>
        <patternFill>
          <bgColor indexed="11"/>
        </patternFill>
      </fill>
    </dxf>
    <dxf>
      <fill>
        <patternFill>
          <bgColor indexed="29"/>
        </patternFill>
      </fill>
    </dxf>
    <dxf>
      <fill>
        <patternFill>
          <bgColor indexed="11"/>
        </patternFill>
      </fill>
    </dxf>
    <dxf>
      <fill>
        <patternFill>
          <bgColor indexed="29"/>
        </patternFill>
      </fill>
    </dxf>
    <dxf>
      <fill>
        <patternFill>
          <bgColor indexed="11"/>
        </patternFill>
      </fill>
    </dxf>
    <dxf>
      <fill>
        <patternFill>
          <bgColor indexed="29"/>
        </patternFill>
      </fill>
    </dxf>
    <dxf>
      <font>
        <condense val="0"/>
        <extend val="0"/>
        <color indexed="12"/>
      </font>
    </dxf>
    <dxf>
      <font>
        <condense val="0"/>
        <extend val="0"/>
        <color auto="1"/>
      </font>
    </dxf>
    <dxf>
      <font>
        <color indexed="12"/>
      </font>
      <fill>
        <patternFill patternType="none"/>
      </fill>
      <border>
        <left/>
        <right/>
        <top/>
        <bottom/>
      </border>
    </dxf>
    <dxf>
      <fill>
        <patternFill patternType="none"/>
      </fill>
      <border>
        <left/>
        <right/>
        <top/>
        <bottom/>
      </border>
    </dxf>
    <dxf>
      <fill>
        <patternFill>
          <bgColor indexed="11"/>
        </patternFill>
      </fill>
    </dxf>
    <dxf>
      <fill>
        <patternFill>
          <bgColor indexed="29"/>
        </patternFill>
      </fill>
    </dxf>
    <dxf>
      <fill>
        <patternFill>
          <bgColor indexed="29"/>
        </patternFill>
      </fill>
    </dxf>
    <dxf>
      <fill>
        <patternFill>
          <bgColor indexed="11"/>
        </patternFill>
      </fill>
    </dxf>
    <dxf>
      <fill>
        <patternFill>
          <bgColor indexed="29"/>
        </patternFill>
      </fill>
    </dxf>
    <dxf>
      <fill>
        <patternFill>
          <bgColor indexed="11"/>
        </patternFill>
      </fill>
    </dxf>
    <dxf>
      <fill>
        <patternFill>
          <bgColor indexed="29"/>
        </patternFill>
      </fill>
    </dxf>
    <dxf>
      <fill>
        <patternFill>
          <bgColor indexed="11"/>
        </patternFill>
      </fill>
    </dxf>
    <dxf>
      <fill>
        <patternFill>
          <bgColor indexed="29"/>
        </patternFill>
      </fill>
    </dxf>
    <dxf>
      <fill>
        <patternFill>
          <bgColor indexed="11"/>
        </patternFill>
      </fill>
    </dxf>
    <dxf>
      <fill>
        <patternFill>
          <bgColor indexed="29"/>
        </patternFill>
      </fill>
    </dxf>
    <dxf>
      <fill>
        <patternFill>
          <bgColor indexed="11"/>
        </patternFill>
      </fill>
    </dxf>
    <dxf>
      <fill>
        <patternFill>
          <bgColor indexed="29"/>
        </patternFill>
      </fill>
    </dxf>
    <dxf>
      <fill>
        <patternFill>
          <bgColor indexed="11"/>
        </patternFill>
      </fill>
    </dxf>
    <dxf>
      <fill>
        <patternFill>
          <bgColor indexed="29"/>
        </patternFill>
      </fill>
    </dxf>
    <dxf>
      <fill>
        <patternFill>
          <bgColor indexed="11"/>
        </patternFill>
      </fill>
    </dxf>
    <dxf>
      <fill>
        <patternFill>
          <bgColor indexed="29"/>
        </patternFill>
      </fill>
    </dxf>
    <dxf>
      <fill>
        <patternFill>
          <bgColor indexed="11"/>
        </patternFill>
      </fill>
    </dxf>
    <dxf>
      <fill>
        <patternFill>
          <bgColor indexed="29"/>
        </patternFill>
      </fill>
    </dxf>
    <dxf>
      <fill>
        <patternFill>
          <bgColor indexed="11"/>
        </patternFill>
      </fill>
    </dxf>
    <dxf>
      <fill>
        <patternFill>
          <bgColor indexed="29"/>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B17B4E"/>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CC"/>
      <rgbColor rgb="00BBCCDD"/>
      <rgbColor rgb="00F9C7D7"/>
      <rgbColor rgb="00EFE5DC"/>
      <rgbColor rgb="00E0E3EC"/>
      <rgbColor rgb="003E70A1"/>
      <rgbColor rgb="0036ACA2"/>
      <rgbColor rgb="00AEC53D"/>
      <rgbColor rgb="00BBC1D5"/>
      <rgbColor rgb="007D89AF"/>
      <rgbColor rgb="004C577C"/>
      <rgbColor rgb="006A4A2F"/>
      <rgbColor rgb="00B2B2B2"/>
      <rgbColor rgb="00003366"/>
      <rgbColor rgb="0036AD36"/>
      <rgbColor rgb="001B571B"/>
      <rgbColor rgb="0058631F"/>
      <rgbColor rgb="0030374E"/>
      <rgbColor rgb="00D0B095"/>
      <rgbColor rgb="00231910"/>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4</xdr:col>
      <xdr:colOff>142875</xdr:colOff>
      <xdr:row>2</xdr:row>
      <xdr:rowOff>85725</xdr:rowOff>
    </xdr:from>
    <xdr:to>
      <xdr:col>6</xdr:col>
      <xdr:colOff>657225</xdr:colOff>
      <xdr:row>2</xdr:row>
      <xdr:rowOff>85725</xdr:rowOff>
    </xdr:to>
    <xdr:sp macro="" textlink="">
      <xdr:nvSpPr>
        <xdr:cNvPr id="8248" name="Line 11">
          <a:extLst>
            <a:ext uri="{FF2B5EF4-FFF2-40B4-BE49-F238E27FC236}">
              <a16:creationId xmlns:a16="http://schemas.microsoft.com/office/drawing/2014/main" id="{F76538F2-1778-430A-A62B-DDC789A71A82}"/>
            </a:ext>
          </a:extLst>
        </xdr:cNvPr>
        <xdr:cNvSpPr>
          <a:spLocks noChangeShapeType="1"/>
        </xdr:cNvSpPr>
      </xdr:nvSpPr>
      <xdr:spPr bwMode="auto">
        <a:xfrm flipV="1">
          <a:off x="3590925" y="371475"/>
          <a:ext cx="438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xmlns="">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161925</xdr:colOff>
      <xdr:row>3</xdr:row>
      <xdr:rowOff>95250</xdr:rowOff>
    </xdr:from>
    <xdr:to>
      <xdr:col>3</xdr:col>
      <xdr:colOff>161925</xdr:colOff>
      <xdr:row>3</xdr:row>
      <xdr:rowOff>95250</xdr:rowOff>
    </xdr:to>
    <xdr:sp macro="" textlink="">
      <xdr:nvSpPr>
        <xdr:cNvPr id="32916" name="Line 19">
          <a:extLst>
            <a:ext uri="{FF2B5EF4-FFF2-40B4-BE49-F238E27FC236}">
              <a16:creationId xmlns:a16="http://schemas.microsoft.com/office/drawing/2014/main" id="{D4BE5E19-9E4E-4A26-9841-6B5DACEDECE0}"/>
            </a:ext>
          </a:extLst>
        </xdr:cNvPr>
        <xdr:cNvSpPr>
          <a:spLocks noChangeShapeType="1"/>
        </xdr:cNvSpPr>
      </xdr:nvSpPr>
      <xdr:spPr bwMode="auto">
        <a:xfrm>
          <a:off x="2838450" y="638175"/>
          <a:ext cx="438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2028825</xdr:colOff>
      <xdr:row>4</xdr:row>
      <xdr:rowOff>85725</xdr:rowOff>
    </xdr:from>
    <xdr:to>
      <xdr:col>3</xdr:col>
      <xdr:colOff>171450</xdr:colOff>
      <xdr:row>4</xdr:row>
      <xdr:rowOff>85725</xdr:rowOff>
    </xdr:to>
    <xdr:sp macro="" textlink="">
      <xdr:nvSpPr>
        <xdr:cNvPr id="32917" name="Line 20">
          <a:extLst>
            <a:ext uri="{FF2B5EF4-FFF2-40B4-BE49-F238E27FC236}">
              <a16:creationId xmlns:a16="http://schemas.microsoft.com/office/drawing/2014/main" id="{5B416C66-4477-40BB-98A4-CD6237C09B77}"/>
            </a:ext>
          </a:extLst>
        </xdr:cNvPr>
        <xdr:cNvSpPr>
          <a:spLocks noChangeShapeType="1"/>
        </xdr:cNvSpPr>
      </xdr:nvSpPr>
      <xdr:spPr bwMode="auto">
        <a:xfrm>
          <a:off x="2381250" y="79057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1819275</xdr:colOff>
      <xdr:row>6</xdr:row>
      <xdr:rowOff>95250</xdr:rowOff>
    </xdr:from>
    <xdr:to>
      <xdr:col>3</xdr:col>
      <xdr:colOff>295275</xdr:colOff>
      <xdr:row>6</xdr:row>
      <xdr:rowOff>95250</xdr:rowOff>
    </xdr:to>
    <xdr:sp macro="" textlink="">
      <xdr:nvSpPr>
        <xdr:cNvPr id="32918" name="Line 37">
          <a:extLst>
            <a:ext uri="{FF2B5EF4-FFF2-40B4-BE49-F238E27FC236}">
              <a16:creationId xmlns:a16="http://schemas.microsoft.com/office/drawing/2014/main" id="{215F0C58-BC3B-45E0-A589-C31398C5A351}"/>
            </a:ext>
          </a:extLst>
        </xdr:cNvPr>
        <xdr:cNvSpPr>
          <a:spLocks noChangeShapeType="1"/>
        </xdr:cNvSpPr>
      </xdr:nvSpPr>
      <xdr:spPr bwMode="auto">
        <a:xfrm>
          <a:off x="2171700" y="1133475"/>
          <a:ext cx="1238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5</xdr:col>
      <xdr:colOff>1485900</xdr:colOff>
      <xdr:row>6</xdr:row>
      <xdr:rowOff>95250</xdr:rowOff>
    </xdr:from>
    <xdr:to>
      <xdr:col>7</xdr:col>
      <xdr:colOff>180975</xdr:colOff>
      <xdr:row>6</xdr:row>
      <xdr:rowOff>95250</xdr:rowOff>
    </xdr:to>
    <xdr:sp macro="" textlink="">
      <xdr:nvSpPr>
        <xdr:cNvPr id="32919" name="Line 38">
          <a:extLst>
            <a:ext uri="{FF2B5EF4-FFF2-40B4-BE49-F238E27FC236}">
              <a16:creationId xmlns:a16="http://schemas.microsoft.com/office/drawing/2014/main" id="{D1F14239-0C6A-4EE8-9AC7-6AD919FFF711}"/>
            </a:ext>
          </a:extLst>
        </xdr:cNvPr>
        <xdr:cNvSpPr>
          <a:spLocks noChangeShapeType="1"/>
        </xdr:cNvSpPr>
      </xdr:nvSpPr>
      <xdr:spPr bwMode="auto">
        <a:xfrm flipV="1">
          <a:off x="6572250" y="1133475"/>
          <a:ext cx="1457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xmlns="">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chael/Downloads/Syndicated%20Deal%20Analyzer%20v2.56%20-%20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Michael%20Blank/My%20Documents/Dropbox/1035%2048th%20St%20NE,%20DC/Houston/Snug%20Harbor/Charlotte/Deals/Analyz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Michael%20Blank/My%20Documents/Dropbox/MICHAEL/New%20Biz/Products/eBook/Harbor%20Terrace,%20Oxon%20Hill%20(Caleb)/2500%20Pinebrook%20Ave%20(Mike%20Traeger)/Financials-Pinebrook-2%20Addl%20Un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About"/>
      <sheetName val="Scenarios"/>
      <sheetName val="Summary"/>
      <sheetName val="P&amp;L"/>
      <sheetName val="Acquisition Costs"/>
      <sheetName val="Exit Strategies"/>
      <sheetName val="Returns"/>
      <sheetName val="IRR"/>
      <sheetName val="Loans"/>
      <sheetName val="1st Mortgage 1"/>
      <sheetName val="2nd Mortgage 1"/>
      <sheetName val="1st Mortgage Re-Fi"/>
      <sheetName val="LEGAL NOTICES"/>
    </sheetNames>
    <sheetDataSet>
      <sheetData sheetId="0"/>
      <sheetData sheetId="1"/>
      <sheetData sheetId="2"/>
      <sheetData sheetId="3"/>
      <sheetData sheetId="4"/>
      <sheetData sheetId="5"/>
      <sheetData sheetId="6"/>
      <sheetData sheetId="7"/>
      <sheetData sheetId="8"/>
      <sheetData sheetId="9"/>
      <sheetData sheetId="10">
        <row r="5">
          <cell r="D5">
            <v>25</v>
          </cell>
        </row>
        <row r="16">
          <cell r="B16" t="str">
            <v>Month</v>
          </cell>
          <cell r="E16" t="str">
            <v>Cumulative Interest</v>
          </cell>
          <cell r="G16" t="str">
            <v>Principal Paid</v>
          </cell>
        </row>
      </sheetData>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k Analyzer"/>
      <sheetName val="Other Analysis"/>
      <sheetName val="Acquisition Expenses"/>
      <sheetName val="Financing"/>
      <sheetName val="Summary"/>
      <sheetName val="Multi-Year P&amp;L"/>
      <sheetName val="Multi-year Analysis"/>
      <sheetName val="Loan Wrksht"/>
      <sheetName val="Amortization-Loan 1"/>
      <sheetName val="Amortization-Loan 2"/>
    </sheetNames>
    <sheetDataSet>
      <sheetData sheetId="0"/>
      <sheetData sheetId="1"/>
      <sheetData sheetId="2"/>
      <sheetData sheetId="3"/>
      <sheetData sheetId="4"/>
      <sheetData sheetId="5"/>
      <sheetData sheetId="6"/>
      <sheetData sheetId="7"/>
      <sheetData sheetId="8">
        <row r="6">
          <cell r="D6">
            <v>360</v>
          </cell>
        </row>
        <row r="13">
          <cell r="B13" t="str">
            <v>Period</v>
          </cell>
          <cell r="E13" t="str">
            <v>Cumulative Interest</v>
          </cell>
          <cell r="G13" t="str">
            <v>Principal Paid</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 Worksheet"/>
      <sheetName val="Summary"/>
      <sheetName val="AS-IS Analysis"/>
      <sheetName val="P&amp;L"/>
      <sheetName val="Resale"/>
      <sheetName val="IRR"/>
      <sheetName val="Acquisition Costs"/>
      <sheetName val="Returns-5 Years"/>
      <sheetName val="Returns 10 years"/>
      <sheetName val="Amortization-Loan 1"/>
      <sheetName val="Amortization-Loan  2"/>
    </sheetNames>
    <sheetDataSet>
      <sheetData sheetId="0"/>
      <sheetData sheetId="1"/>
      <sheetData sheetId="2"/>
      <sheetData sheetId="3"/>
      <sheetData sheetId="4"/>
      <sheetData sheetId="5"/>
      <sheetData sheetId="6"/>
      <sheetData sheetId="7"/>
      <sheetData sheetId="8"/>
      <sheetData sheetId="9">
        <row r="6">
          <cell r="D6">
            <v>300</v>
          </cell>
        </row>
        <row r="13">
          <cell r="E13" t="str">
            <v>Cumulative Interest</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www.themichaelblank.com/dealdesk/" TargetMode="External"/><Relationship Id="rId1" Type="http://schemas.openxmlformats.org/officeDocument/2006/relationships/hyperlink" Target="https://www.ultimateapartmentinvestingguide.com/dealdesk/"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hyperlink" Target="http://www.ncsl.org/research/fiscal-policy/real-estate-transfer-taxes.aspx"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H108"/>
  <sheetViews>
    <sheetView workbookViewId="0">
      <selection activeCell="D13" sqref="D13"/>
    </sheetView>
  </sheetViews>
  <sheetFormatPr defaultColWidth="8.85546875" defaultRowHeight="12.75" x14ac:dyDescent="0.2"/>
  <cols>
    <col min="1" max="1" width="3.85546875" style="658" customWidth="1"/>
    <col min="2" max="2" width="22.42578125" style="658" customWidth="1"/>
    <col min="3" max="3" width="8.85546875" style="658"/>
    <col min="4" max="4" width="9.42578125" style="658" customWidth="1"/>
    <col min="5" max="5" width="46.28515625" style="659" customWidth="1"/>
    <col min="6" max="6" width="6" style="659" customWidth="1"/>
    <col min="7" max="7" width="20.85546875" style="660" customWidth="1"/>
    <col min="8" max="8" width="2.42578125" style="660" customWidth="1"/>
    <col min="9" max="9" width="40.140625" style="659" hidden="1" customWidth="1"/>
    <col min="10" max="10" width="14.140625" style="659" hidden="1" customWidth="1"/>
    <col min="11" max="11" width="9.7109375" style="297" hidden="1" customWidth="1"/>
    <col min="12" max="12" width="8.42578125" style="297" hidden="1" customWidth="1"/>
    <col min="13" max="13" width="31.42578125" style="659" hidden="1" customWidth="1"/>
    <col min="14" max="14" width="28.85546875" style="659" hidden="1" customWidth="1"/>
    <col min="15" max="15" width="16.140625" style="659" hidden="1" customWidth="1"/>
    <col min="16" max="16" width="15.140625" style="659" hidden="1" customWidth="1"/>
    <col min="17" max="17" width="15.7109375" style="659" hidden="1" customWidth="1"/>
    <col min="18" max="23" width="0" style="659" hidden="1" customWidth="1"/>
    <col min="24" max="34" width="8.85546875" style="659"/>
    <col min="35" max="16384" width="8.85546875" style="658"/>
  </cols>
  <sheetData>
    <row r="1" spans="1:34" ht="13.5" customHeight="1" x14ac:dyDescent="0.2">
      <c r="A1" s="659"/>
      <c r="B1" s="659"/>
      <c r="C1" s="659"/>
      <c r="D1" s="659"/>
    </row>
    <row r="2" spans="1:34" ht="15.75" x14ac:dyDescent="0.2">
      <c r="A2" s="659"/>
      <c r="B2" s="955" t="s">
        <v>328</v>
      </c>
      <c r="C2" s="956"/>
      <c r="D2" s="956"/>
      <c r="E2" s="956"/>
      <c r="F2" s="754"/>
    </row>
    <row r="3" spans="1:34" s="761" customFormat="1" ht="33" customHeight="1" x14ac:dyDescent="0.2">
      <c r="A3" s="758"/>
      <c r="B3" s="794" t="s">
        <v>326</v>
      </c>
      <c r="C3" s="759" t="s">
        <v>337</v>
      </c>
      <c r="D3" s="760" t="s">
        <v>327</v>
      </c>
      <c r="E3" s="759" t="s">
        <v>240</v>
      </c>
      <c r="F3" s="758"/>
      <c r="G3" s="758"/>
      <c r="H3" s="758"/>
      <c r="I3" s="758"/>
      <c r="J3" s="758"/>
      <c r="K3" s="755" t="s">
        <v>330</v>
      </c>
      <c r="L3" s="755" t="s">
        <v>331</v>
      </c>
      <c r="M3" s="755" t="s">
        <v>340</v>
      </c>
      <c r="N3" s="755" t="s">
        <v>339</v>
      </c>
      <c r="O3" s="758"/>
      <c r="P3" s="758"/>
      <c r="Q3" s="758"/>
      <c r="R3" s="758"/>
      <c r="S3" s="758"/>
      <c r="T3" s="758"/>
      <c r="U3" s="758"/>
      <c r="V3" s="758"/>
      <c r="W3" s="758"/>
      <c r="X3" s="758"/>
      <c r="Y3" s="758"/>
      <c r="Z3" s="758"/>
      <c r="AA3" s="758"/>
      <c r="AB3" s="758"/>
      <c r="AC3" s="758"/>
      <c r="AD3" s="758"/>
      <c r="AE3" s="758"/>
      <c r="AF3" s="758"/>
      <c r="AG3" s="758"/>
      <c r="AH3" s="758"/>
    </row>
    <row r="4" spans="1:34" s="761" customFormat="1" ht="33" customHeight="1" x14ac:dyDescent="0.2">
      <c r="A4" s="758"/>
      <c r="B4" s="782" t="s">
        <v>357</v>
      </c>
      <c r="C4" s="763">
        <f t="shared" ref="C4:C14" si="0">IF($B$46=$K$45,K4,IF($B$46=$L$45,K4,L4))</f>
        <v>1.25</v>
      </c>
      <c r="D4" s="764">
        <f ca="1">Summary!D38</f>
        <v>2.1740091848245959</v>
      </c>
      <c r="E4" s="762" t="str">
        <f ca="1">IF(D4=0,"",IF(D4&lt;C4,M4,N4))</f>
        <v>Nice job! Since the Debt Coverage Ratio is at least 1.25 in the first year, you're more likely to qualify for financing.</v>
      </c>
      <c r="F4" s="758"/>
      <c r="G4" s="758"/>
      <c r="H4" s="758"/>
      <c r="I4" s="758"/>
      <c r="J4" s="758"/>
      <c r="K4" s="765">
        <v>1.25</v>
      </c>
      <c r="L4" s="765">
        <v>1.25</v>
      </c>
      <c r="M4" s="766" t="str">
        <f>CONCATENATE("The 'Debt Coverage Ratio' is low (Summary tab, Line 38). It should be at least ",C4," in the first year.")</f>
        <v>The 'Debt Coverage Ratio' is low (Summary tab, Line 38). It should be at least 1.25 in the first year.</v>
      </c>
      <c r="N4" s="766" t="str">
        <f>CONCATENATE("Nice job! Since the Debt Coverage Ratio is at least ",C4," in the first year, you're more likely to qualify for financing.")</f>
        <v>Nice job! Since the Debt Coverage Ratio is at least 1.25 in the first year, you're more likely to qualify for financing.</v>
      </c>
      <c r="O4" s="758"/>
      <c r="P4" s="758"/>
      <c r="Q4" s="758"/>
      <c r="R4" s="758"/>
      <c r="S4" s="758"/>
      <c r="T4" s="758"/>
      <c r="U4" s="758"/>
      <c r="V4" s="758"/>
      <c r="W4" s="758"/>
      <c r="X4" s="758"/>
      <c r="Y4" s="758"/>
      <c r="Z4" s="758"/>
      <c r="AA4" s="758"/>
      <c r="AB4" s="758"/>
      <c r="AC4" s="758"/>
      <c r="AD4" s="758"/>
      <c r="AE4" s="758"/>
      <c r="AF4" s="758"/>
      <c r="AG4" s="758"/>
      <c r="AH4" s="758"/>
    </row>
    <row r="5" spans="1:34" s="761" customFormat="1" ht="33" customHeight="1" x14ac:dyDescent="0.2">
      <c r="A5" s="758"/>
      <c r="B5" s="782" t="s">
        <v>361</v>
      </c>
      <c r="C5" s="767">
        <f t="shared" si="0"/>
        <v>0.15</v>
      </c>
      <c r="D5" s="768">
        <f ca="1">Summary!D48</f>
        <v>0.23245117317195288</v>
      </c>
      <c r="E5" s="762" t="str">
        <f ca="1">IF(D5=0,"",IF(D5&lt;C5,M5,N5))</f>
        <v>Your AAR looks great! Since it's at least 15.0% it will be a lot easier to sell to investors.</v>
      </c>
      <c r="F5" s="758"/>
      <c r="G5" s="758"/>
      <c r="H5" s="758"/>
      <c r="I5" s="758"/>
      <c r="J5" s="758"/>
      <c r="K5" s="769">
        <f>IF($K$18="Yes",K6, 17%)</f>
        <v>0.17</v>
      </c>
      <c r="L5" s="769">
        <f>IF($K$18="Yes",L6, 15%)</f>
        <v>0.15</v>
      </c>
      <c r="M5" s="770" t="str">
        <f>CONCATENATE(IF(K18="Yes","Because of the Refinance, the AAR is equal to the IRR. ",""), "The AAR is low. It should be at least ", TEXT(C5,"0.0%")," or it will be tough to sell the deal to investors.")</f>
        <v>The AAR is low. It should be at least 15.0% or it will be tough to sell the deal to investors.</v>
      </c>
      <c r="N5" s="770" t="str">
        <f>CONCATENATE(IF(K18="Yes","Because of the Refinance, the AAR is equal to the IRR.",""), "Your AAR looks great! Since it's at least ",TEXT(C5,"0.0%")," it will be a lot easier to sell to investors.")</f>
        <v>Your AAR looks great! Since it's at least 15.0% it will be a lot easier to sell to investors.</v>
      </c>
      <c r="O5" s="758"/>
      <c r="P5" s="758"/>
      <c r="Q5" s="758"/>
      <c r="R5" s="758"/>
      <c r="S5" s="758"/>
      <c r="T5" s="758"/>
      <c r="U5" s="758"/>
      <c r="V5" s="758"/>
      <c r="W5" s="758"/>
      <c r="X5" s="758"/>
      <c r="Y5" s="758"/>
      <c r="Z5" s="758"/>
      <c r="AA5" s="758"/>
      <c r="AB5" s="758"/>
      <c r="AC5" s="758"/>
      <c r="AD5" s="758"/>
      <c r="AE5" s="758"/>
      <c r="AF5" s="758"/>
      <c r="AG5" s="758"/>
      <c r="AH5" s="758"/>
    </row>
    <row r="6" spans="1:34" s="761" customFormat="1" ht="33" customHeight="1" x14ac:dyDescent="0.2">
      <c r="A6" s="758"/>
      <c r="B6" s="782" t="s">
        <v>202</v>
      </c>
      <c r="C6" s="767">
        <f t="shared" si="0"/>
        <v>0.13</v>
      </c>
      <c r="D6" s="768">
        <f ca="1">Summary!D50</f>
        <v>0.18208640301147283</v>
      </c>
      <c r="E6" s="762" t="str">
        <f ca="1">IF(D6=0,"",IF(D6&lt;C6,M6,N6))</f>
        <v>This is a solid IRR since it's at least 13.0%.</v>
      </c>
      <c r="F6" s="758"/>
      <c r="G6" s="758"/>
      <c r="H6" s="758"/>
      <c r="I6" s="758"/>
      <c r="J6" s="758"/>
      <c r="K6" s="769">
        <v>0.15</v>
      </c>
      <c r="L6" s="769">
        <v>0.13</v>
      </c>
      <c r="M6" s="770" t="str">
        <f>CONCATENATE("The IRR is low. It should be at least ",TEXT(C6,"0.0%"),".")</f>
        <v>The IRR is low. It should be at least 13.0%.</v>
      </c>
      <c r="N6" s="770" t="str">
        <f>CONCATENATE("This is a solid IRR since it's at least ",TEXT(C6,"0.0%"),".")</f>
        <v>This is a solid IRR since it's at least 13.0%.</v>
      </c>
      <c r="O6" s="758"/>
      <c r="P6" s="758"/>
      <c r="Q6" s="758"/>
      <c r="R6" s="758"/>
      <c r="S6" s="758"/>
      <c r="T6" s="758"/>
      <c r="U6" s="758"/>
      <c r="V6" s="758"/>
      <c r="W6" s="758"/>
      <c r="X6" s="758"/>
      <c r="Y6" s="758"/>
      <c r="Z6" s="758"/>
      <c r="AA6" s="758"/>
      <c r="AB6" s="758"/>
      <c r="AC6" s="758"/>
      <c r="AD6" s="758"/>
      <c r="AE6" s="758"/>
      <c r="AF6" s="758"/>
      <c r="AG6" s="758"/>
      <c r="AH6" s="758"/>
    </row>
    <row r="7" spans="1:34" s="761" customFormat="1" ht="33" customHeight="1" x14ac:dyDescent="0.2">
      <c r="A7" s="758"/>
      <c r="B7" s="782" t="s">
        <v>82</v>
      </c>
      <c r="C7" s="767">
        <f t="shared" si="0"/>
        <v>0.5</v>
      </c>
      <c r="D7" s="768">
        <f>Summary!E31</f>
        <v>0.57004719351633437</v>
      </c>
      <c r="E7" s="762" t="str">
        <f>IF(D7=0,"",IF(D7&lt;C7,M7,N7))</f>
        <v>Good job with the expenses! They're conservative since they're at least 50% of Total Net Income.</v>
      </c>
      <c r="F7" s="758"/>
      <c r="G7" s="758"/>
      <c r="H7" s="758"/>
      <c r="I7" s="758"/>
      <c r="J7" s="758"/>
      <c r="K7" s="769">
        <v>0.5</v>
      </c>
      <c r="L7" s="769">
        <v>0.5</v>
      </c>
      <c r="M7" s="771" t="str">
        <f>CONCATENATE("The expenses appear low. They should be at least ",TEXT(C7,"0%")," of Total Net Income.")</f>
        <v>The expenses appear low. They should be at least 50% of Total Net Income.</v>
      </c>
      <c r="N7" s="771" t="str">
        <f>CONCATENATE("Good job with the expenses! They're conservative since they're at least ",TEXT(C7,"0%")," of Total Net Income.")</f>
        <v>Good job with the expenses! They're conservative since they're at least 50% of Total Net Income.</v>
      </c>
      <c r="O7" s="758"/>
      <c r="P7" s="758"/>
      <c r="Q7" s="758"/>
      <c r="R7" s="758"/>
      <c r="S7" s="758"/>
      <c r="T7" s="758"/>
      <c r="U7" s="758"/>
      <c r="V7" s="758"/>
      <c r="W7" s="758"/>
      <c r="X7" s="758"/>
      <c r="Y7" s="758"/>
      <c r="Z7" s="758"/>
      <c r="AA7" s="758"/>
      <c r="AB7" s="758"/>
      <c r="AC7" s="758"/>
      <c r="AD7" s="758"/>
      <c r="AE7" s="758"/>
      <c r="AF7" s="758"/>
      <c r="AG7" s="758"/>
      <c r="AH7" s="758"/>
    </row>
    <row r="8" spans="1:34" s="761" customFormat="1" ht="33" customHeight="1" x14ac:dyDescent="0.2">
      <c r="A8" s="758"/>
      <c r="B8" s="782" t="s">
        <v>358</v>
      </c>
      <c r="C8" s="767">
        <f t="shared" si="0"/>
        <v>0.6</v>
      </c>
      <c r="D8" s="768" t="str">
        <f>IF('Exit Strategies'!D4="NA","NA",'Exit Strategies'!D20)</f>
        <v>NA</v>
      </c>
      <c r="E8" s="762" t="str">
        <f>IF(OR(D8=0,D8="NA"),"",IF(D8&lt;C8,M8,N8))</f>
        <v/>
      </c>
      <c r="F8" s="758"/>
      <c r="G8" s="758"/>
      <c r="H8" s="758"/>
      <c r="I8" s="758"/>
      <c r="J8" s="758"/>
      <c r="K8" s="769">
        <v>0.6</v>
      </c>
      <c r="L8" s="769">
        <v>0.6</v>
      </c>
      <c r="M8" s="771" t="str">
        <f>CONCATENATE("The capital returned to the investors is low. You should return at least ",TEXT(C8,"0%"), " or it's not really worth refinancing.")</f>
        <v>The capital returned to the investors is low. You should return at least 60% or it's not really worth refinancing.</v>
      </c>
      <c r="N8" s="771" t="str">
        <f>CONCATENATE("This looks like a pretty good refinance since you're returning at least ",TEXT(C8,"0%"), " of the investor capital. They'll be pleased!")</f>
        <v>This looks like a pretty good refinance since you're returning at least 60% of the investor capital. They'll be pleased!</v>
      </c>
      <c r="O8" s="758"/>
      <c r="P8" s="758"/>
      <c r="Q8" s="758"/>
      <c r="R8" s="758"/>
      <c r="S8" s="758"/>
      <c r="T8" s="758"/>
      <c r="U8" s="758"/>
      <c r="V8" s="758"/>
      <c r="W8" s="758"/>
      <c r="X8" s="758"/>
      <c r="Y8" s="758"/>
      <c r="Z8" s="758"/>
      <c r="AA8" s="758"/>
      <c r="AB8" s="758"/>
      <c r="AC8" s="758"/>
      <c r="AD8" s="758"/>
      <c r="AE8" s="758"/>
      <c r="AF8" s="758"/>
      <c r="AG8" s="758"/>
      <c r="AH8" s="758"/>
    </row>
    <row r="9" spans="1:34" s="761" customFormat="1" ht="33" customHeight="1" x14ac:dyDescent="0.2">
      <c r="A9" s="758"/>
      <c r="B9" s="782" t="s">
        <v>359</v>
      </c>
      <c r="C9" s="767">
        <f t="shared" si="0"/>
        <v>0.09</v>
      </c>
      <c r="D9" s="768">
        <f ca="1">Summary!D37</f>
        <v>0.13723304180126383</v>
      </c>
      <c r="E9" s="762" t="str">
        <f ca="1">IF(D9=0,"",IF(D9&lt;C9,M9,N9))</f>
        <v>The average Cash on Cash Return looks good since it's at least 9.0% over the 10 years of the investment.</v>
      </c>
      <c r="F9" s="758"/>
      <c r="G9" s="758"/>
      <c r="H9" s="758"/>
      <c r="I9" s="758"/>
      <c r="J9" s="758"/>
      <c r="K9" s="769">
        <v>0.09</v>
      </c>
      <c r="L9" s="769">
        <v>0.09</v>
      </c>
      <c r="M9" s="771" t="str">
        <f>CONCATENATE("The average Cash on Cash Return ", IF(About!K19="Yes"," (Before Refinance)",""), " is low. It should be at least ",TEXT(C9,"0.0%")," over the life of the investment.")</f>
        <v>The average Cash on Cash Return  is low. It should be at least 9.0% over the life of the investment.</v>
      </c>
      <c r="N9" s="771" t="str">
        <f>CONCATENATE("The average Cash on Cash Return ",IF(About!K19="Yes","(Before Refinance) ",""),"looks good since it's at least ",TEXT(C9,"0.0%"),IF(About!K19="Yes"," before the Refinance.",CONCATENATE(" over the ",'Exit Strategies'!H7," years of the investment.")))</f>
        <v>The average Cash on Cash Return looks good since it's at least 9.0% over the 10 years of the investment.</v>
      </c>
      <c r="O9" s="758"/>
      <c r="P9" s="758"/>
      <c r="Q9" s="758"/>
      <c r="R9" s="758"/>
      <c r="S9" s="758"/>
      <c r="T9" s="758"/>
      <c r="U9" s="758"/>
      <c r="V9" s="758"/>
      <c r="W9" s="758"/>
      <c r="X9" s="758"/>
      <c r="Y9" s="758"/>
      <c r="Z9" s="758"/>
      <c r="AA9" s="758"/>
      <c r="AB9" s="758"/>
      <c r="AC9" s="758"/>
      <c r="AD9" s="758"/>
      <c r="AE9" s="758"/>
      <c r="AF9" s="758"/>
      <c r="AG9" s="758"/>
      <c r="AH9" s="758"/>
    </row>
    <row r="10" spans="1:34" s="761" customFormat="1" ht="33" customHeight="1" x14ac:dyDescent="0.2">
      <c r="A10" s="758"/>
      <c r="B10" s="782" t="s">
        <v>163</v>
      </c>
      <c r="C10" s="772">
        <f t="shared" si="0"/>
        <v>123000</v>
      </c>
      <c r="D10" s="773">
        <f>'P&amp;L'!D29</f>
        <v>123000</v>
      </c>
      <c r="E10" s="762" t="str">
        <f ca="1">IF(D4=0,"",IF(D10&lt;C10,M10,N10))</f>
        <v>Nice job putting at least $250/unit/year ($123000) in Replacement Reserves in the P&amp;L Tab (Line 29)</v>
      </c>
      <c r="G10" s="758"/>
      <c r="H10" s="758"/>
      <c r="I10" s="758"/>
      <c r="J10" s="758"/>
      <c r="K10" s="774">
        <f>250*Summary!D6</f>
        <v>123000</v>
      </c>
      <c r="L10" s="774">
        <f>250*Summary!D6</f>
        <v>123000</v>
      </c>
      <c r="M10" s="771" t="str">
        <f>CONCATENATE("You should have at least $250/unit/year (",TEXT(C10,"$0"),") in Replacement Reserves in the P&amp;L Tab (Line 29)")</f>
        <v>You should have at least $250/unit/year ($123000) in Replacement Reserves in the P&amp;L Tab (Line 29)</v>
      </c>
      <c r="N10" s="771" t="str">
        <f>CONCATENATE("Nice job putting at least $250/unit/year (",TEXT(D10,"$0"),") in Replacement Reserves in the P&amp;L Tab (Line 29)")</f>
        <v>Nice job putting at least $250/unit/year ($123000) in Replacement Reserves in the P&amp;L Tab (Line 29)</v>
      </c>
      <c r="O10" s="758"/>
      <c r="P10" s="758"/>
      <c r="Q10" s="758"/>
      <c r="R10" s="758"/>
      <c r="S10" s="758"/>
      <c r="T10" s="758"/>
      <c r="U10" s="758"/>
      <c r="V10" s="758"/>
      <c r="W10" s="758"/>
      <c r="X10" s="758"/>
      <c r="Y10" s="758"/>
      <c r="Z10" s="758"/>
      <c r="AA10" s="758"/>
      <c r="AB10" s="758"/>
      <c r="AC10" s="758"/>
      <c r="AD10" s="758"/>
      <c r="AE10" s="758"/>
      <c r="AF10" s="758"/>
      <c r="AG10" s="758"/>
      <c r="AH10" s="758"/>
    </row>
    <row r="11" spans="1:34" s="761" customFormat="1" ht="33" customHeight="1" x14ac:dyDescent="0.2">
      <c r="A11" s="758"/>
      <c r="B11" s="783" t="s">
        <v>319</v>
      </c>
      <c r="C11" s="776">
        <f t="shared" si="0"/>
        <v>755825.36145833333</v>
      </c>
      <c r="D11" s="776">
        <f>Summary!D20</f>
        <v>984000</v>
      </c>
      <c r="E11" s="775" t="str">
        <f ca="1">IF(D4=0,"",IF(D11&lt;C11,M11,N11))</f>
        <v>Nice job!</v>
      </c>
      <c r="F11" s="770"/>
      <c r="G11" s="758"/>
      <c r="H11" s="758"/>
      <c r="I11" s="758"/>
      <c r="J11" s="758"/>
      <c r="K11" s="777">
        <f>(Summary!D6*1000)+('P&amp;L'!D13/12)</f>
        <v>755825.36145833333</v>
      </c>
      <c r="L11" s="777">
        <f>(Summary!D6*1000)+('P&amp;L'!D13/12)</f>
        <v>755825.36145833333</v>
      </c>
      <c r="M11" s="770" t="s">
        <v>334</v>
      </c>
      <c r="N11" s="770" t="s">
        <v>332</v>
      </c>
      <c r="O11" s="758"/>
      <c r="P11" s="758"/>
      <c r="Q11" s="758"/>
      <c r="R11" s="758"/>
      <c r="S11" s="758"/>
      <c r="T11" s="758"/>
      <c r="U11" s="758"/>
      <c r="V11" s="758"/>
      <c r="W11" s="758"/>
      <c r="X11" s="758"/>
      <c r="Y11" s="758"/>
      <c r="Z11" s="758"/>
      <c r="AA11" s="758"/>
      <c r="AB11" s="758"/>
      <c r="AC11" s="758"/>
      <c r="AD11" s="758"/>
      <c r="AE11" s="758"/>
      <c r="AF11" s="758"/>
      <c r="AG11" s="758"/>
      <c r="AH11" s="758"/>
    </row>
    <row r="12" spans="1:34" s="761" customFormat="1" ht="33" customHeight="1" x14ac:dyDescent="0.2">
      <c r="A12" s="758"/>
      <c r="B12" s="782" t="s">
        <v>333</v>
      </c>
      <c r="C12" s="778">
        <f t="shared" si="0"/>
        <v>9.2121974379084967E-2</v>
      </c>
      <c r="D12" s="768">
        <f>Summary!D22</f>
        <v>0.08</v>
      </c>
      <c r="E12" s="762" t="str">
        <f ca="1">IF(D4=0,"",IF(D12&lt;C12,M12,N12))</f>
        <v>The 'Cap Rate at Re-Sale' (Summary tab, Line 22) should be at least 9.2% which is at least 0.5% higher than the 'Cap Rate At Purchase' (Line 36). This is more conservative.</v>
      </c>
      <c r="F12" s="770"/>
      <c r="G12" s="758"/>
      <c r="H12" s="758"/>
      <c r="I12" s="758"/>
      <c r="J12" s="758"/>
      <c r="K12" s="779">
        <f>0.5%+Summary!D36</f>
        <v>9.2121974379084967E-2</v>
      </c>
      <c r="L12" s="779">
        <f>0.5%+Summary!D36</f>
        <v>9.2121974379084967E-2</v>
      </c>
      <c r="M12" s="771" t="str">
        <f>CONCATENATE("The 'Cap Rate at Re-Sale' (Summary tab, Line 22) should be at least ",TEXT(C12,"0.0%"), " which is at least 0.5% higher than the 'Cap Rate At Purchase' (Line 36). This is more conservative.")</f>
        <v>The 'Cap Rate at Re-Sale' (Summary tab, Line 22) should be at least 9.2% which is at least 0.5% higher than the 'Cap Rate At Purchase' (Line 36). This is more conservative.</v>
      </c>
      <c r="N12" s="771" t="s">
        <v>335</v>
      </c>
      <c r="O12" s="758"/>
      <c r="P12" s="758"/>
      <c r="Q12" s="758"/>
      <c r="R12" s="758"/>
      <c r="S12" s="758"/>
      <c r="T12" s="758"/>
      <c r="U12" s="758"/>
      <c r="V12" s="758"/>
      <c r="W12" s="758"/>
      <c r="X12" s="758"/>
      <c r="Y12" s="758"/>
      <c r="Z12" s="758"/>
      <c r="AA12" s="758"/>
      <c r="AB12" s="758"/>
      <c r="AC12" s="758"/>
      <c r="AD12" s="758"/>
      <c r="AE12" s="758"/>
      <c r="AF12" s="758"/>
      <c r="AG12" s="758"/>
      <c r="AH12" s="758"/>
    </row>
    <row r="13" spans="1:34" s="761" customFormat="1" ht="33" customHeight="1" x14ac:dyDescent="0.2">
      <c r="A13" s="758"/>
      <c r="B13" s="782" t="s">
        <v>336</v>
      </c>
      <c r="C13" s="778" t="str">
        <f t="shared" si="0"/>
        <v>Yes</v>
      </c>
      <c r="D13" s="773" t="str">
        <f>IF('Exit Strategies'!D5=5,"Yes","No")</f>
        <v>No</v>
      </c>
      <c r="E13" s="762" t="str">
        <f ca="1">IF(D4=0,"",IF(D13=C13,N13,M13))</f>
        <v>Investors want their money back after 5 years, so the deal has GOT to work with a sale in Year 5. Otherwise it may be difficult to get the investors on board.</v>
      </c>
      <c r="F13" s="758"/>
      <c r="G13" s="758"/>
      <c r="H13" s="758"/>
      <c r="I13" s="758"/>
      <c r="J13" s="758"/>
      <c r="K13" s="780" t="s">
        <v>249</v>
      </c>
      <c r="L13" s="780" t="s">
        <v>249</v>
      </c>
      <c r="M13" s="771" t="s">
        <v>349</v>
      </c>
      <c r="N13" s="781" t="s">
        <v>348</v>
      </c>
      <c r="O13" s="758"/>
      <c r="P13" s="758"/>
      <c r="Q13" s="758"/>
      <c r="R13" s="758"/>
      <c r="S13" s="758"/>
      <c r="T13" s="758"/>
      <c r="U13" s="758"/>
      <c r="V13" s="758"/>
      <c r="W13" s="758"/>
      <c r="X13" s="758"/>
      <c r="Y13" s="758"/>
      <c r="Z13" s="758"/>
      <c r="AA13" s="758"/>
      <c r="AB13" s="758"/>
      <c r="AC13" s="758"/>
      <c r="AD13" s="758"/>
      <c r="AE13" s="758"/>
      <c r="AF13" s="758"/>
      <c r="AG13" s="758"/>
      <c r="AH13" s="758"/>
    </row>
    <row r="14" spans="1:34" s="761" customFormat="1" ht="42" customHeight="1" x14ac:dyDescent="0.2">
      <c r="A14" s="758"/>
      <c r="B14" s="782" t="s">
        <v>364</v>
      </c>
      <c r="C14" s="778" t="str">
        <f t="shared" si="0"/>
        <v>Yes</v>
      </c>
      <c r="D14" s="773" t="str">
        <f>IF(NOT(OR('Exit Strategies'!D4=3,'Exit Strategies'!D4=4)),"Yes","No")</f>
        <v>Yes</v>
      </c>
      <c r="E14" s="762" t="str">
        <f ca="1">IF($D$4=0,"",IF(D14=C14,N14,M14))</f>
        <v>Nice job not refinancing in Years 3 or 4! It's risky to assume you can refinance in Years 3 or 4. What if the market turns? A refinance in the first two years is OK.</v>
      </c>
      <c r="F14" s="758"/>
      <c r="G14" s="758"/>
      <c r="H14" s="758"/>
      <c r="I14" s="758"/>
      <c r="J14" s="758"/>
      <c r="K14" s="780" t="s">
        <v>249</v>
      </c>
      <c r="L14" s="780" t="s">
        <v>249</v>
      </c>
      <c r="M14" s="771" t="s">
        <v>362</v>
      </c>
      <c r="N14" s="771" t="s">
        <v>363</v>
      </c>
      <c r="O14" s="758"/>
      <c r="P14" s="758"/>
      <c r="Q14" s="758"/>
      <c r="R14" s="758"/>
      <c r="S14" s="758"/>
      <c r="T14" s="758"/>
      <c r="U14" s="758"/>
      <c r="V14" s="758"/>
      <c r="W14" s="758"/>
      <c r="X14" s="758"/>
      <c r="Y14" s="758"/>
      <c r="Z14" s="758"/>
      <c r="AA14" s="758"/>
      <c r="AB14" s="758"/>
      <c r="AC14" s="758"/>
      <c r="AD14" s="758"/>
      <c r="AE14" s="758"/>
      <c r="AF14" s="758"/>
      <c r="AG14" s="758"/>
      <c r="AH14" s="758"/>
    </row>
    <row r="15" spans="1:34" s="744" customFormat="1" ht="19.5" customHeight="1" thickBot="1" x14ac:dyDescent="0.25">
      <c r="A15" s="743"/>
      <c r="B15" s="743"/>
      <c r="C15" s="743"/>
      <c r="D15" s="743"/>
      <c r="E15" s="743"/>
      <c r="F15" s="743"/>
      <c r="G15" s="743"/>
      <c r="H15" s="743"/>
      <c r="I15" s="743"/>
      <c r="J15" s="848"/>
      <c r="K15" s="769"/>
      <c r="L15" s="769"/>
      <c r="M15" s="770"/>
      <c r="N15" s="770"/>
      <c r="O15" s="743"/>
      <c r="P15" s="743"/>
      <c r="Q15" s="743"/>
      <c r="R15" s="743"/>
      <c r="S15" s="743"/>
      <c r="T15" s="743"/>
      <c r="U15" s="743"/>
      <c r="V15" s="743"/>
      <c r="W15" s="743"/>
      <c r="X15" s="743"/>
      <c r="Y15" s="743"/>
      <c r="Z15" s="743"/>
      <c r="AA15" s="743"/>
      <c r="AB15" s="743"/>
      <c r="AC15" s="743"/>
      <c r="AD15" s="743"/>
      <c r="AE15" s="743"/>
      <c r="AF15" s="743"/>
      <c r="AG15" s="743"/>
      <c r="AH15" s="743"/>
    </row>
    <row r="16" spans="1:34" s="744" customFormat="1" ht="18" customHeight="1" x14ac:dyDescent="0.2">
      <c r="A16" s="743"/>
      <c r="B16" s="952" t="s">
        <v>313</v>
      </c>
      <c r="C16" s="953"/>
      <c r="D16" s="953"/>
      <c r="E16" s="954"/>
      <c r="F16" s="743"/>
      <c r="G16" s="743"/>
      <c r="H16" s="743"/>
      <c r="I16" s="743"/>
      <c r="K16" s="743"/>
      <c r="L16" s="746"/>
      <c r="M16" s="743"/>
      <c r="N16" s="743"/>
      <c r="O16" s="743"/>
      <c r="P16" s="743"/>
      <c r="Q16" s="743"/>
      <c r="R16" s="743"/>
      <c r="S16" s="743"/>
      <c r="T16" s="743"/>
      <c r="U16" s="743"/>
      <c r="V16" s="743"/>
      <c r="W16" s="743"/>
      <c r="X16" s="743"/>
      <c r="Y16" s="743"/>
      <c r="Z16" s="743"/>
      <c r="AA16" s="743"/>
      <c r="AB16" s="743"/>
      <c r="AC16" s="743"/>
      <c r="AD16" s="743"/>
      <c r="AE16" s="743"/>
      <c r="AF16" s="743"/>
      <c r="AG16" s="743"/>
      <c r="AH16" s="743"/>
    </row>
    <row r="17" spans="1:34" s="744" customFormat="1" ht="39.950000000000003" customHeight="1" x14ac:dyDescent="0.2">
      <c r="A17" s="743"/>
      <c r="B17" s="963" t="s">
        <v>342</v>
      </c>
      <c r="C17" s="964"/>
      <c r="D17" s="965"/>
      <c r="E17" s="932"/>
      <c r="F17" s="743"/>
      <c r="G17" s="743"/>
      <c r="H17" s="743"/>
      <c r="I17" s="743"/>
      <c r="J17" s="849" t="s">
        <v>360</v>
      </c>
      <c r="K17" s="769"/>
      <c r="L17" s="769"/>
      <c r="M17" s="770"/>
      <c r="N17" s="770"/>
      <c r="O17" s="743"/>
      <c r="P17" s="743"/>
      <c r="Q17" s="743"/>
      <c r="R17" s="743"/>
      <c r="S17" s="743"/>
      <c r="T17" s="743"/>
      <c r="U17" s="743"/>
      <c r="V17" s="743"/>
      <c r="W17" s="743"/>
      <c r="X17" s="743"/>
      <c r="Y17" s="743"/>
      <c r="Z17" s="743"/>
      <c r="AA17" s="743"/>
      <c r="AB17" s="743"/>
      <c r="AC17" s="743"/>
      <c r="AD17" s="743"/>
      <c r="AE17" s="743"/>
      <c r="AF17" s="743"/>
      <c r="AG17" s="743"/>
      <c r="AH17" s="743"/>
    </row>
    <row r="18" spans="1:34" s="744" customFormat="1" ht="33" customHeight="1" x14ac:dyDescent="0.2">
      <c r="A18" s="743"/>
      <c r="B18" s="930" t="s">
        <v>341</v>
      </c>
      <c r="C18" s="967"/>
      <c r="D18" s="951"/>
      <c r="E18" s="932"/>
      <c r="F18" s="743"/>
      <c r="G18" s="743"/>
      <c r="H18" s="743"/>
      <c r="I18" s="743"/>
      <c r="J18" s="848" t="s">
        <v>356</v>
      </c>
      <c r="K18" s="758" t="str">
        <f>IF(NOT('Exit Strategies'!$D$4="NA"),"Yes","No")</f>
        <v>No</v>
      </c>
      <c r="L18" s="746"/>
      <c r="M18" s="743"/>
      <c r="N18" s="743"/>
      <c r="O18" s="743"/>
      <c r="P18" s="743"/>
      <c r="Q18" s="743"/>
      <c r="R18" s="743"/>
      <c r="S18" s="743"/>
      <c r="T18" s="743"/>
      <c r="U18" s="743"/>
      <c r="V18" s="743"/>
      <c r="W18" s="743"/>
      <c r="X18" s="743"/>
      <c r="Y18" s="743"/>
      <c r="Z18" s="743"/>
      <c r="AA18" s="743"/>
      <c r="AB18" s="743"/>
      <c r="AC18" s="743"/>
      <c r="AD18" s="743"/>
      <c r="AE18" s="743"/>
      <c r="AF18" s="743"/>
      <c r="AG18" s="743"/>
      <c r="AH18" s="743"/>
    </row>
    <row r="19" spans="1:34" s="744" customFormat="1" ht="62.25" customHeight="1" x14ac:dyDescent="0.2">
      <c r="A19" s="743"/>
      <c r="B19" s="936"/>
      <c r="C19" s="937"/>
      <c r="D19" s="937"/>
      <c r="E19" s="938"/>
      <c r="F19" s="743"/>
      <c r="G19" s="743"/>
      <c r="H19" s="743"/>
      <c r="I19" s="743"/>
      <c r="J19" s="848" t="s">
        <v>355</v>
      </c>
      <c r="K19" s="758" t="str">
        <f>IF(AND(NOT('Exit Strategies'!$D$4="NA"),'Exit Strategies'!$D$21=0),"Yes","No")</f>
        <v>No</v>
      </c>
      <c r="L19" s="746"/>
      <c r="M19" s="743"/>
      <c r="N19" s="743"/>
      <c r="O19" s="743"/>
      <c r="P19" s="743"/>
      <c r="Q19" s="743"/>
      <c r="R19" s="743"/>
      <c r="S19" s="743"/>
      <c r="T19" s="743"/>
      <c r="U19" s="743"/>
      <c r="V19" s="743"/>
      <c r="W19" s="743"/>
      <c r="X19" s="743"/>
      <c r="Y19" s="743"/>
      <c r="Z19" s="743"/>
      <c r="AA19" s="743"/>
      <c r="AB19" s="743"/>
      <c r="AC19" s="743"/>
      <c r="AD19" s="743"/>
      <c r="AE19" s="743"/>
      <c r="AF19" s="743"/>
      <c r="AG19" s="743"/>
      <c r="AH19" s="743"/>
    </row>
    <row r="20" spans="1:34" s="744" customFormat="1" ht="33" customHeight="1" x14ac:dyDescent="0.2">
      <c r="A20" s="743"/>
      <c r="B20" s="946" t="s">
        <v>264</v>
      </c>
      <c r="C20" s="947"/>
      <c r="D20" s="947"/>
      <c r="E20" s="966"/>
      <c r="F20" s="743"/>
      <c r="G20" s="743"/>
      <c r="H20" s="743"/>
      <c r="I20" s="743"/>
      <c r="J20" s="743"/>
      <c r="K20" s="746"/>
      <c r="L20" s="746"/>
      <c r="M20" s="743"/>
      <c r="N20" s="743"/>
      <c r="O20" s="743"/>
      <c r="P20" s="743"/>
      <c r="Q20" s="743"/>
      <c r="R20" s="743"/>
      <c r="S20" s="743"/>
      <c r="T20" s="743"/>
      <c r="U20" s="743"/>
      <c r="V20" s="743"/>
      <c r="W20" s="743"/>
      <c r="X20" s="743"/>
      <c r="Y20" s="743"/>
      <c r="Z20" s="743"/>
      <c r="AA20" s="743"/>
      <c r="AB20" s="743"/>
      <c r="AC20" s="743"/>
      <c r="AD20" s="743"/>
      <c r="AE20" s="743"/>
      <c r="AF20" s="743"/>
      <c r="AG20" s="743"/>
      <c r="AH20" s="743"/>
    </row>
    <row r="21" spans="1:34" s="744" customFormat="1" ht="33" customHeight="1" thickBot="1" x14ac:dyDescent="0.25">
      <c r="A21" s="743"/>
      <c r="B21" s="936"/>
      <c r="C21" s="937"/>
      <c r="D21" s="937"/>
      <c r="E21" s="938"/>
      <c r="F21" s="743"/>
      <c r="G21" s="743"/>
      <c r="H21" s="743"/>
      <c r="I21" s="743"/>
      <c r="J21" s="743"/>
      <c r="K21" s="746"/>
      <c r="L21" s="746"/>
      <c r="M21" s="743"/>
      <c r="N21" s="743"/>
      <c r="O21" s="743"/>
      <c r="P21" s="743"/>
      <c r="Q21" s="743"/>
      <c r="R21" s="743"/>
      <c r="S21" s="743"/>
      <c r="T21" s="743"/>
      <c r="U21" s="743"/>
      <c r="V21" s="743"/>
      <c r="W21" s="743"/>
      <c r="X21" s="743"/>
      <c r="Y21" s="743"/>
      <c r="Z21" s="743"/>
      <c r="AA21" s="743"/>
      <c r="AB21" s="743"/>
      <c r="AC21" s="743"/>
      <c r="AD21" s="743"/>
      <c r="AE21" s="743"/>
      <c r="AF21" s="743"/>
      <c r="AG21" s="743"/>
      <c r="AH21" s="743"/>
    </row>
    <row r="22" spans="1:34" s="744" customFormat="1" ht="33" customHeight="1" x14ac:dyDescent="0.2">
      <c r="A22" s="743"/>
      <c r="B22" s="968" t="s">
        <v>265</v>
      </c>
      <c r="C22" s="969"/>
      <c r="D22" s="970"/>
      <c r="E22" s="971"/>
      <c r="F22" s="743"/>
      <c r="G22" s="743"/>
      <c r="H22" s="743"/>
      <c r="I22" s="743"/>
      <c r="J22" s="743"/>
      <c r="K22" s="746"/>
      <c r="L22" s="746"/>
      <c r="M22" s="743"/>
      <c r="N22" s="743"/>
      <c r="O22" s="743"/>
      <c r="P22" s="743"/>
      <c r="Q22" s="743"/>
      <c r="R22" s="743"/>
      <c r="S22" s="743"/>
      <c r="T22" s="743"/>
      <c r="U22" s="743"/>
      <c r="V22" s="743"/>
      <c r="W22" s="743"/>
      <c r="X22" s="743"/>
      <c r="Y22" s="743"/>
      <c r="Z22" s="743"/>
      <c r="AA22" s="743"/>
      <c r="AB22" s="743"/>
      <c r="AC22" s="743"/>
      <c r="AD22" s="743"/>
      <c r="AE22" s="743"/>
      <c r="AF22" s="743"/>
      <c r="AG22" s="743"/>
      <c r="AH22" s="743"/>
    </row>
    <row r="23" spans="1:34" s="744" customFormat="1" ht="33" customHeight="1" x14ac:dyDescent="0.2">
      <c r="A23" s="743"/>
      <c r="B23" s="939" t="s">
        <v>338</v>
      </c>
      <c r="C23" s="931"/>
      <c r="D23" s="931"/>
      <c r="E23" s="932"/>
      <c r="F23" s="743"/>
      <c r="G23" s="743"/>
      <c r="H23" s="743"/>
      <c r="I23" s="743"/>
      <c r="J23" s="743"/>
      <c r="K23" s="746"/>
      <c r="L23" s="746"/>
      <c r="M23" s="743"/>
      <c r="N23" s="743"/>
      <c r="O23" s="743"/>
      <c r="P23" s="743"/>
      <c r="Q23" s="743"/>
      <c r="R23" s="743"/>
      <c r="S23" s="743"/>
      <c r="T23" s="743"/>
      <c r="U23" s="743"/>
      <c r="V23" s="743"/>
      <c r="W23" s="743"/>
      <c r="X23" s="743"/>
      <c r="Y23" s="743"/>
      <c r="Z23" s="743"/>
      <c r="AA23" s="743"/>
      <c r="AB23" s="743"/>
      <c r="AC23" s="743"/>
      <c r="AD23" s="743"/>
      <c r="AE23" s="743"/>
      <c r="AF23" s="743"/>
      <c r="AG23" s="743"/>
      <c r="AH23" s="743"/>
    </row>
    <row r="24" spans="1:34" s="744" customFormat="1" ht="33" customHeight="1" x14ac:dyDescent="0.2">
      <c r="A24" s="743"/>
      <c r="B24" s="936"/>
      <c r="C24" s="959"/>
      <c r="D24" s="959"/>
      <c r="E24" s="932"/>
      <c r="F24" s="743"/>
      <c r="G24" s="743"/>
      <c r="H24" s="743"/>
      <c r="I24" s="743"/>
      <c r="J24" s="743"/>
      <c r="K24" s="746"/>
      <c r="L24" s="746"/>
      <c r="M24" s="743"/>
      <c r="N24" s="743"/>
      <c r="O24" s="743"/>
      <c r="P24" s="743"/>
      <c r="Q24" s="743"/>
      <c r="R24" s="743"/>
      <c r="S24" s="743"/>
      <c r="T24" s="743"/>
      <c r="U24" s="743"/>
      <c r="V24" s="743"/>
      <c r="W24" s="743"/>
      <c r="X24" s="743"/>
      <c r="Y24" s="743"/>
      <c r="Z24" s="743"/>
      <c r="AA24" s="743"/>
      <c r="AB24" s="743"/>
      <c r="AC24" s="743"/>
      <c r="AD24" s="743"/>
      <c r="AE24" s="743"/>
      <c r="AF24" s="743"/>
      <c r="AG24" s="743"/>
      <c r="AH24" s="743"/>
    </row>
    <row r="25" spans="1:34" s="744" customFormat="1" ht="33" customHeight="1" x14ac:dyDescent="0.2">
      <c r="A25" s="743"/>
      <c r="B25" s="939" t="s">
        <v>266</v>
      </c>
      <c r="C25" s="960"/>
      <c r="D25" s="961"/>
      <c r="E25" s="938"/>
      <c r="F25" s="743"/>
      <c r="G25" s="743"/>
      <c r="H25" s="743"/>
      <c r="I25" s="743"/>
      <c r="J25" s="743"/>
      <c r="V25" s="743"/>
      <c r="W25" s="743"/>
      <c r="X25" s="743"/>
      <c r="Y25" s="743"/>
      <c r="Z25" s="743"/>
      <c r="AA25" s="743"/>
      <c r="AB25" s="743"/>
      <c r="AC25" s="743"/>
      <c r="AD25" s="743"/>
      <c r="AE25" s="743"/>
      <c r="AF25" s="743"/>
      <c r="AG25" s="743"/>
      <c r="AH25" s="743"/>
    </row>
    <row r="26" spans="1:34" s="744" customFormat="1" ht="33" customHeight="1" x14ac:dyDescent="0.2">
      <c r="A26" s="743"/>
      <c r="B26" s="936"/>
      <c r="C26" s="959"/>
      <c r="D26" s="959"/>
      <c r="E26" s="932"/>
      <c r="F26" s="743"/>
      <c r="G26" s="743"/>
      <c r="H26" s="743"/>
      <c r="I26" s="743"/>
      <c r="J26" s="743"/>
      <c r="V26" s="743"/>
      <c r="W26" s="743"/>
      <c r="X26" s="743"/>
      <c r="Y26" s="743"/>
      <c r="Z26" s="743"/>
      <c r="AA26" s="743"/>
      <c r="AB26" s="743"/>
      <c r="AC26" s="743"/>
      <c r="AD26" s="743"/>
      <c r="AE26" s="743"/>
      <c r="AF26" s="743"/>
      <c r="AG26" s="743"/>
      <c r="AH26" s="743"/>
    </row>
    <row r="27" spans="1:34" s="744" customFormat="1" ht="33" customHeight="1" x14ac:dyDescent="0.2">
      <c r="A27" s="743"/>
      <c r="B27" s="939" t="s">
        <v>267</v>
      </c>
      <c r="C27" s="960"/>
      <c r="D27" s="962"/>
      <c r="E27" s="932"/>
      <c r="F27" s="743"/>
      <c r="G27" s="743"/>
      <c r="H27" s="743"/>
      <c r="I27" s="743"/>
      <c r="J27" s="743"/>
      <c r="V27" s="743"/>
      <c r="W27" s="743"/>
      <c r="X27" s="743"/>
      <c r="Y27" s="743"/>
      <c r="Z27" s="743"/>
      <c r="AA27" s="743"/>
      <c r="AB27" s="743"/>
      <c r="AC27" s="743"/>
      <c r="AD27" s="743"/>
      <c r="AE27" s="743"/>
      <c r="AF27" s="743"/>
      <c r="AG27" s="743"/>
      <c r="AH27" s="743"/>
    </row>
    <row r="28" spans="1:34" s="744" customFormat="1" ht="33" customHeight="1" x14ac:dyDescent="0.2">
      <c r="A28" s="743"/>
      <c r="B28" s="936"/>
      <c r="C28" s="937"/>
      <c r="D28" s="937"/>
      <c r="E28" s="938"/>
      <c r="F28" s="743"/>
      <c r="G28" s="743"/>
      <c r="H28" s="743"/>
      <c r="I28" s="743"/>
      <c r="J28" s="743"/>
      <c r="V28" s="743"/>
      <c r="W28" s="743"/>
      <c r="X28" s="743"/>
      <c r="Y28" s="743"/>
      <c r="Z28" s="743"/>
      <c r="AA28" s="743"/>
      <c r="AB28" s="743"/>
      <c r="AC28" s="743"/>
      <c r="AD28" s="743"/>
      <c r="AE28" s="743"/>
      <c r="AF28" s="743"/>
      <c r="AG28" s="743"/>
      <c r="AH28" s="743"/>
    </row>
    <row r="29" spans="1:34" s="744" customFormat="1" ht="33" customHeight="1" x14ac:dyDescent="0.2">
      <c r="A29" s="743"/>
      <c r="B29" s="939" t="s">
        <v>268</v>
      </c>
      <c r="C29" s="960"/>
      <c r="D29" s="962"/>
      <c r="E29" s="932"/>
      <c r="F29" s="743"/>
      <c r="G29" s="743"/>
      <c r="H29" s="743"/>
      <c r="I29" s="743"/>
      <c r="J29" s="743"/>
      <c r="V29" s="743"/>
      <c r="W29" s="743"/>
      <c r="X29" s="743"/>
      <c r="Y29" s="743"/>
      <c r="Z29" s="743"/>
      <c r="AA29" s="743"/>
      <c r="AB29" s="743"/>
      <c r="AC29" s="743"/>
      <c r="AD29" s="743"/>
      <c r="AE29" s="743"/>
      <c r="AF29" s="743"/>
      <c r="AG29" s="743"/>
      <c r="AH29" s="743"/>
    </row>
    <row r="30" spans="1:34" s="744" customFormat="1" ht="33" customHeight="1" x14ac:dyDescent="0.2">
      <c r="A30" s="743"/>
      <c r="B30" s="936"/>
      <c r="C30" s="937"/>
      <c r="D30" s="937"/>
      <c r="E30" s="938"/>
      <c r="F30" s="743"/>
      <c r="G30" s="743"/>
      <c r="H30" s="743"/>
      <c r="I30" s="743"/>
      <c r="J30" s="743"/>
      <c r="V30" s="743"/>
      <c r="W30" s="743"/>
      <c r="X30" s="743"/>
      <c r="Y30" s="743"/>
      <c r="Z30" s="743"/>
      <c r="AA30" s="743"/>
      <c r="AB30" s="743"/>
      <c r="AC30" s="743"/>
      <c r="AD30" s="743"/>
      <c r="AE30" s="743"/>
      <c r="AF30" s="743"/>
      <c r="AG30" s="743"/>
      <c r="AH30" s="743"/>
    </row>
    <row r="31" spans="1:34" s="744" customFormat="1" ht="33" customHeight="1" x14ac:dyDescent="0.2">
      <c r="A31" s="743"/>
      <c r="B31" s="939" t="s">
        <v>269</v>
      </c>
      <c r="C31" s="931"/>
      <c r="D31" s="931"/>
      <c r="E31" s="932"/>
      <c r="F31" s="743"/>
      <c r="G31" s="743"/>
      <c r="H31" s="743"/>
      <c r="I31" s="743"/>
      <c r="J31" s="743"/>
      <c r="V31" s="743"/>
      <c r="W31" s="743"/>
      <c r="X31" s="743"/>
      <c r="Y31" s="743"/>
      <c r="Z31" s="743"/>
      <c r="AA31" s="743"/>
      <c r="AB31" s="743"/>
      <c r="AC31" s="743"/>
      <c r="AD31" s="743"/>
      <c r="AE31" s="743"/>
      <c r="AF31" s="743"/>
      <c r="AG31" s="743"/>
      <c r="AH31" s="743"/>
    </row>
    <row r="32" spans="1:34" s="744" customFormat="1" ht="33" customHeight="1" x14ac:dyDescent="0.2">
      <c r="A32" s="743"/>
      <c r="B32" s="936"/>
      <c r="C32" s="937"/>
      <c r="D32" s="937"/>
      <c r="E32" s="938"/>
      <c r="F32" s="743"/>
      <c r="G32" s="743"/>
      <c r="H32" s="743"/>
      <c r="I32" s="743"/>
      <c r="J32" s="743"/>
      <c r="V32" s="743"/>
      <c r="W32" s="743"/>
      <c r="X32" s="743"/>
      <c r="Y32" s="743"/>
      <c r="Z32" s="743"/>
      <c r="AA32" s="743"/>
      <c r="AB32" s="743"/>
      <c r="AC32" s="743"/>
      <c r="AD32" s="743"/>
      <c r="AE32" s="743"/>
      <c r="AF32" s="743"/>
      <c r="AG32" s="743"/>
      <c r="AH32" s="743"/>
    </row>
    <row r="33" spans="1:34" s="744" customFormat="1" ht="33" customHeight="1" x14ac:dyDescent="0.2">
      <c r="A33" s="743"/>
      <c r="B33" s="939" t="s">
        <v>316</v>
      </c>
      <c r="C33" s="931"/>
      <c r="D33" s="931"/>
      <c r="E33" s="932"/>
      <c r="F33" s="743"/>
      <c r="G33" s="743"/>
      <c r="H33" s="743"/>
      <c r="I33" s="743"/>
      <c r="J33" s="743"/>
      <c r="V33" s="743"/>
      <c r="W33" s="743"/>
      <c r="X33" s="743"/>
      <c r="Y33" s="743"/>
      <c r="Z33" s="743"/>
      <c r="AA33" s="743"/>
      <c r="AB33" s="743"/>
      <c r="AC33" s="743"/>
      <c r="AD33" s="743"/>
      <c r="AE33" s="743"/>
      <c r="AF33" s="743"/>
      <c r="AG33" s="743"/>
      <c r="AH33" s="743"/>
    </row>
    <row r="34" spans="1:34" s="744" customFormat="1" ht="33" customHeight="1" thickBot="1" x14ac:dyDescent="0.25">
      <c r="A34" s="743"/>
      <c r="B34" s="933"/>
      <c r="C34" s="934"/>
      <c r="D34" s="934"/>
      <c r="E34" s="935"/>
      <c r="F34" s="743"/>
      <c r="G34" s="743"/>
      <c r="H34" s="743"/>
      <c r="I34" s="743"/>
      <c r="J34" s="743"/>
      <c r="V34" s="743"/>
      <c r="W34" s="743"/>
      <c r="X34" s="743"/>
      <c r="Y34" s="743"/>
      <c r="Z34" s="743"/>
      <c r="AA34" s="743"/>
      <c r="AB34" s="743"/>
      <c r="AC34" s="743"/>
      <c r="AD34" s="743"/>
      <c r="AE34" s="743"/>
      <c r="AF34" s="743"/>
      <c r="AG34" s="743"/>
      <c r="AH34" s="743"/>
    </row>
    <row r="35" spans="1:34" s="744" customFormat="1" ht="33" customHeight="1" x14ac:dyDescent="0.2">
      <c r="A35" s="743"/>
      <c r="B35" s="927" t="s">
        <v>273</v>
      </c>
      <c r="C35" s="928"/>
      <c r="D35" s="928"/>
      <c r="E35" s="929"/>
      <c r="F35" s="743"/>
      <c r="G35" s="743"/>
      <c r="H35" s="743"/>
      <c r="I35" s="743"/>
      <c r="J35" s="743"/>
      <c r="V35" s="743"/>
      <c r="W35" s="743"/>
      <c r="X35" s="743"/>
      <c r="Y35" s="743"/>
      <c r="Z35" s="743"/>
      <c r="AA35" s="743"/>
      <c r="AB35" s="743"/>
      <c r="AC35" s="743"/>
      <c r="AD35" s="743"/>
      <c r="AE35" s="743"/>
      <c r="AF35" s="743"/>
      <c r="AG35" s="743"/>
      <c r="AH35" s="743"/>
    </row>
    <row r="36" spans="1:34" ht="33" customHeight="1" x14ac:dyDescent="0.2">
      <c r="A36" s="659"/>
      <c r="B36" s="936"/>
      <c r="C36" s="937"/>
      <c r="D36" s="937"/>
      <c r="E36" s="938"/>
      <c r="K36" s="658"/>
      <c r="L36" s="658"/>
      <c r="M36" s="658"/>
      <c r="N36" s="658"/>
      <c r="O36" s="658"/>
      <c r="P36" s="658"/>
      <c r="Q36" s="658"/>
      <c r="R36" s="658"/>
      <c r="S36" s="658"/>
      <c r="T36" s="658"/>
      <c r="U36" s="658"/>
    </row>
    <row r="37" spans="1:34" ht="33" customHeight="1" x14ac:dyDescent="0.2">
      <c r="A37" s="659"/>
      <c r="B37" s="930" t="s">
        <v>274</v>
      </c>
      <c r="C37" s="931"/>
      <c r="D37" s="931"/>
      <c r="E37" s="932"/>
      <c r="H37" s="297"/>
      <c r="K37" s="658"/>
      <c r="L37" s="658"/>
      <c r="M37" s="658"/>
      <c r="N37" s="658"/>
      <c r="O37" s="658"/>
      <c r="P37" s="658"/>
      <c r="Q37" s="658"/>
      <c r="R37" s="658"/>
      <c r="S37" s="658"/>
      <c r="T37" s="658"/>
      <c r="U37" s="658"/>
    </row>
    <row r="38" spans="1:34" ht="33" customHeight="1" x14ac:dyDescent="0.2">
      <c r="A38" s="659"/>
      <c r="B38" s="936"/>
      <c r="C38" s="937"/>
      <c r="D38" s="937"/>
      <c r="E38" s="938"/>
      <c r="H38" s="297"/>
      <c r="K38" s="658"/>
      <c r="L38" s="658"/>
      <c r="M38" s="658"/>
      <c r="N38" s="658"/>
      <c r="O38" s="658"/>
      <c r="P38" s="658"/>
      <c r="Q38" s="658"/>
      <c r="R38" s="658"/>
      <c r="S38" s="658"/>
      <c r="T38" s="658"/>
      <c r="U38" s="658"/>
    </row>
    <row r="39" spans="1:34" ht="33" customHeight="1" x14ac:dyDescent="0.2">
      <c r="A39" s="659"/>
      <c r="B39" s="950" t="s">
        <v>263</v>
      </c>
      <c r="C39" s="951"/>
      <c r="D39" s="951"/>
      <c r="E39" s="932"/>
      <c r="K39" s="746" t="s">
        <v>254</v>
      </c>
      <c r="L39" s="746" t="s">
        <v>257</v>
      </c>
      <c r="M39" s="746" t="s">
        <v>250</v>
      </c>
      <c r="N39" s="746" t="s">
        <v>251</v>
      </c>
      <c r="O39" s="746" t="s">
        <v>252</v>
      </c>
      <c r="P39" s="746" t="s">
        <v>255</v>
      </c>
      <c r="Q39" s="746" t="s">
        <v>256</v>
      </c>
      <c r="R39" s="746" t="s">
        <v>253</v>
      </c>
      <c r="S39" s="743"/>
      <c r="T39" s="743"/>
      <c r="U39" s="743"/>
    </row>
    <row r="40" spans="1:34" ht="33" customHeight="1" x14ac:dyDescent="0.2">
      <c r="A40" s="659"/>
      <c r="B40" s="785" t="s">
        <v>254</v>
      </c>
      <c r="C40" s="757"/>
      <c r="D40" s="944" t="str">
        <f>IF(B40=L39, L40,IF(B40=M39,M40,IF(B40=N39,N40,IF(B40=O39,O40,IF(B40=P39,P40,IF(B40=Q39,Q40,IF(B40=R39,R40,"")))))))</f>
        <v/>
      </c>
      <c r="E40" s="945"/>
      <c r="K40" s="743"/>
      <c r="L40" s="746" t="s">
        <v>314</v>
      </c>
      <c r="M40" s="746" t="s">
        <v>258</v>
      </c>
      <c r="N40" s="746" t="s">
        <v>259</v>
      </c>
      <c r="O40" s="746" t="s">
        <v>260</v>
      </c>
      <c r="P40" s="746" t="s">
        <v>261</v>
      </c>
      <c r="Q40" s="746" t="s">
        <v>276</v>
      </c>
      <c r="R40" s="746" t="s">
        <v>262</v>
      </c>
      <c r="S40" s="743"/>
      <c r="T40" s="743"/>
      <c r="U40" s="743"/>
    </row>
    <row r="41" spans="1:34" ht="33" customHeight="1" x14ac:dyDescent="0.2">
      <c r="A41" s="659"/>
      <c r="B41" s="946" t="s">
        <v>270</v>
      </c>
      <c r="C41" s="947"/>
      <c r="D41" s="948"/>
      <c r="E41" s="949"/>
      <c r="K41" s="743"/>
      <c r="L41" s="746"/>
      <c r="M41" s="743"/>
      <c r="N41" s="743"/>
      <c r="O41" s="743"/>
      <c r="P41" s="743"/>
      <c r="Q41" s="743"/>
      <c r="R41" s="743"/>
      <c r="S41" s="743"/>
      <c r="T41" s="743"/>
      <c r="U41" s="743"/>
    </row>
    <row r="42" spans="1:34" ht="33" customHeight="1" x14ac:dyDescent="0.2">
      <c r="A42" s="659"/>
      <c r="B42" s="785" t="s">
        <v>254</v>
      </c>
      <c r="C42" s="784"/>
      <c r="D42" s="944" t="str">
        <f>IF(B42="Yes", K42,IF(B42="No",L42,""))</f>
        <v/>
      </c>
      <c r="E42" s="945"/>
      <c r="K42" s="746" t="s">
        <v>271</v>
      </c>
      <c r="L42" s="746" t="s">
        <v>343</v>
      </c>
      <c r="M42" s="743"/>
      <c r="N42" s="743"/>
      <c r="O42" s="743"/>
      <c r="P42" s="743"/>
      <c r="Q42" s="743"/>
      <c r="R42" s="743"/>
      <c r="S42" s="743"/>
      <c r="T42" s="743"/>
      <c r="U42" s="743"/>
    </row>
    <row r="43" spans="1:34" ht="33" customHeight="1" x14ac:dyDescent="0.2">
      <c r="A43" s="659"/>
      <c r="B43" s="946" t="s">
        <v>275</v>
      </c>
      <c r="C43" s="947"/>
      <c r="D43" s="948"/>
      <c r="E43" s="949"/>
      <c r="K43" s="743"/>
      <c r="L43" s="746"/>
      <c r="M43" s="743"/>
      <c r="N43" s="743"/>
      <c r="O43" s="743"/>
      <c r="P43" s="743"/>
      <c r="Q43" s="743"/>
      <c r="R43" s="743"/>
      <c r="S43" s="743"/>
      <c r="T43" s="743"/>
      <c r="U43" s="743"/>
    </row>
    <row r="44" spans="1:34" ht="33" customHeight="1" x14ac:dyDescent="0.2">
      <c r="A44" s="659"/>
      <c r="B44" s="785" t="s">
        <v>254</v>
      </c>
      <c r="C44" s="757"/>
      <c r="D44" s="944" t="str">
        <f>IF(B44="Yes", K44,IF(B44="No",L44,""))</f>
        <v/>
      </c>
      <c r="E44" s="945"/>
      <c r="K44" s="746" t="s">
        <v>344</v>
      </c>
      <c r="L44" s="746" t="s">
        <v>272</v>
      </c>
      <c r="M44" s="743"/>
      <c r="N44" s="743"/>
      <c r="O44" s="743"/>
      <c r="P44" s="743"/>
      <c r="Q44" s="743"/>
      <c r="R44" s="743"/>
      <c r="S44" s="743"/>
      <c r="T44" s="743"/>
      <c r="U44" s="743"/>
    </row>
    <row r="45" spans="1:34" ht="33" customHeight="1" x14ac:dyDescent="0.2">
      <c r="A45" s="659"/>
      <c r="B45" s="946" t="s">
        <v>365</v>
      </c>
      <c r="C45" s="947"/>
      <c r="D45" s="948"/>
      <c r="E45" s="949"/>
      <c r="K45" s="746" t="s">
        <v>254</v>
      </c>
      <c r="L45" s="746" t="s">
        <v>330</v>
      </c>
      <c r="M45" s="746" t="s">
        <v>331</v>
      </c>
      <c r="N45" s="743"/>
      <c r="O45" s="743"/>
      <c r="P45" s="743"/>
      <c r="Q45" s="743"/>
      <c r="R45" s="743"/>
      <c r="S45" s="743"/>
      <c r="T45" s="743"/>
      <c r="U45" s="743"/>
    </row>
    <row r="46" spans="1:34" ht="33" customHeight="1" x14ac:dyDescent="0.2">
      <c r="A46" s="659"/>
      <c r="B46" s="785" t="s">
        <v>331</v>
      </c>
      <c r="C46" s="757"/>
      <c r="D46" s="944" t="str">
        <f>IF(B46="Value-Add", K46,IF(B46="Stable",L46,""))</f>
        <v>A Stable deal can have slightly lower returns than a Value-Add deal. The Minimum Criteria in the Deal Readiness Dashboard were updated accordingly.</v>
      </c>
      <c r="E46" s="945"/>
      <c r="K46" s="746" t="s">
        <v>346</v>
      </c>
      <c r="L46" s="746" t="s">
        <v>345</v>
      </c>
      <c r="M46" s="743"/>
      <c r="N46" s="743"/>
      <c r="O46" s="743"/>
      <c r="P46" s="743"/>
      <c r="Q46" s="743"/>
      <c r="R46" s="743"/>
      <c r="S46" s="743"/>
      <c r="T46" s="743"/>
      <c r="U46" s="743"/>
    </row>
    <row r="47" spans="1:34" ht="33" customHeight="1" x14ac:dyDescent="0.2">
      <c r="A47" s="659"/>
      <c r="B47" s="946" t="s">
        <v>315</v>
      </c>
      <c r="C47" s="947"/>
      <c r="D47" s="948"/>
      <c r="E47" s="949"/>
      <c r="K47" s="746" t="s">
        <v>254</v>
      </c>
      <c r="L47" s="746" t="s">
        <v>249</v>
      </c>
      <c r="M47" s="746" t="s">
        <v>248</v>
      </c>
      <c r="N47" s="743"/>
      <c r="O47" s="743"/>
      <c r="P47" s="743"/>
      <c r="Q47" s="743"/>
      <c r="R47" s="743"/>
      <c r="S47" s="743"/>
      <c r="T47" s="743"/>
      <c r="U47" s="743"/>
    </row>
    <row r="48" spans="1:34" ht="33" customHeight="1" x14ac:dyDescent="0.2">
      <c r="A48" s="659"/>
      <c r="B48" s="940" t="s">
        <v>317</v>
      </c>
      <c r="C48" s="941"/>
      <c r="D48" s="942"/>
      <c r="E48" s="943"/>
      <c r="K48" s="746"/>
      <c r="L48" s="746"/>
      <c r="M48" s="746"/>
      <c r="N48" s="743"/>
      <c r="O48" s="743"/>
      <c r="P48" s="743"/>
      <c r="Q48" s="743"/>
      <c r="R48" s="743"/>
      <c r="S48" s="743"/>
      <c r="T48" s="743"/>
      <c r="U48" s="743"/>
    </row>
    <row r="49" spans="1:21" ht="43.5" customHeight="1" thickBot="1" x14ac:dyDescent="0.25">
      <c r="A49" s="659"/>
      <c r="B49" s="745" t="s">
        <v>254</v>
      </c>
      <c r="C49" s="786"/>
      <c r="D49" s="957" t="str">
        <f>IF(B49="Yes", K49,IF(B49="No",L49,""))</f>
        <v/>
      </c>
      <c r="E49" s="958"/>
      <c r="K49" s="746" t="s">
        <v>329</v>
      </c>
      <c r="L49" s="746" t="s">
        <v>347</v>
      </c>
      <c r="M49" s="743"/>
      <c r="N49" s="743"/>
      <c r="O49" s="743"/>
      <c r="P49" s="743"/>
      <c r="Q49" s="743"/>
      <c r="R49" s="743"/>
      <c r="S49" s="743"/>
      <c r="T49" s="743"/>
      <c r="U49" s="743"/>
    </row>
    <row r="50" spans="1:21" x14ac:dyDescent="0.2">
      <c r="A50" s="659"/>
      <c r="B50" s="659"/>
      <c r="C50" s="659"/>
      <c r="D50" s="659"/>
    </row>
    <row r="51" spans="1:21" x14ac:dyDescent="0.2">
      <c r="A51" s="659"/>
      <c r="B51" s="218" t="s">
        <v>301</v>
      </c>
      <c r="C51" s="659"/>
      <c r="D51" s="659"/>
    </row>
    <row r="52" spans="1:21" x14ac:dyDescent="0.2">
      <c r="A52" s="659"/>
      <c r="B52" s="218" t="s">
        <v>140</v>
      </c>
      <c r="C52" s="659"/>
      <c r="D52" s="659"/>
    </row>
    <row r="53" spans="1:21" x14ac:dyDescent="0.2">
      <c r="A53" s="659"/>
      <c r="B53" s="659"/>
      <c r="C53" s="659"/>
      <c r="D53" s="659"/>
    </row>
    <row r="54" spans="1:21" x14ac:dyDescent="0.2">
      <c r="A54" s="659"/>
      <c r="B54" s="659"/>
      <c r="C54" s="659"/>
      <c r="D54" s="659"/>
    </row>
    <row r="55" spans="1:21" x14ac:dyDescent="0.2">
      <c r="A55" s="659"/>
      <c r="B55" s="659"/>
      <c r="C55" s="659"/>
      <c r="D55" s="659"/>
    </row>
    <row r="56" spans="1:21" x14ac:dyDescent="0.2">
      <c r="A56" s="659"/>
      <c r="B56" s="659"/>
      <c r="C56" s="659"/>
      <c r="D56" s="659"/>
    </row>
    <row r="57" spans="1:21" x14ac:dyDescent="0.2">
      <c r="A57" s="659"/>
      <c r="B57" s="659"/>
      <c r="C57" s="659"/>
      <c r="D57" s="659"/>
    </row>
    <row r="58" spans="1:21" x14ac:dyDescent="0.2">
      <c r="A58" s="659"/>
      <c r="B58" s="659"/>
      <c r="C58" s="659"/>
      <c r="D58" s="659"/>
    </row>
    <row r="59" spans="1:21" x14ac:dyDescent="0.2">
      <c r="A59" s="659"/>
      <c r="B59" s="659"/>
      <c r="C59" s="659"/>
      <c r="D59" s="659"/>
    </row>
    <row r="60" spans="1:21" x14ac:dyDescent="0.2">
      <c r="A60" s="659"/>
      <c r="B60" s="659"/>
      <c r="C60" s="659"/>
      <c r="D60" s="659"/>
    </row>
    <row r="61" spans="1:21" x14ac:dyDescent="0.2">
      <c r="A61" s="659"/>
      <c r="B61" s="659"/>
      <c r="C61" s="659"/>
      <c r="D61" s="659"/>
    </row>
    <row r="62" spans="1:21" x14ac:dyDescent="0.2">
      <c r="A62" s="659"/>
      <c r="B62" s="659"/>
      <c r="C62" s="659"/>
      <c r="D62" s="659"/>
    </row>
    <row r="63" spans="1:21" x14ac:dyDescent="0.2">
      <c r="A63" s="659"/>
      <c r="B63" s="659"/>
      <c r="C63" s="659"/>
      <c r="D63" s="659"/>
    </row>
    <row r="64" spans="1:21" x14ac:dyDescent="0.2">
      <c r="A64" s="659"/>
      <c r="B64" s="659"/>
      <c r="C64" s="659"/>
      <c r="D64" s="659"/>
    </row>
    <row r="65" spans="7:12" s="659" customFormat="1" x14ac:dyDescent="0.2">
      <c r="G65" s="660"/>
      <c r="H65" s="660"/>
      <c r="K65" s="297"/>
      <c r="L65" s="297"/>
    </row>
    <row r="66" spans="7:12" s="659" customFormat="1" x14ac:dyDescent="0.2">
      <c r="G66" s="660"/>
      <c r="H66" s="660"/>
      <c r="K66" s="297"/>
      <c r="L66" s="297"/>
    </row>
    <row r="67" spans="7:12" s="659" customFormat="1" x14ac:dyDescent="0.2">
      <c r="G67" s="660"/>
      <c r="H67" s="660"/>
      <c r="K67" s="297"/>
      <c r="L67" s="297"/>
    </row>
    <row r="68" spans="7:12" s="659" customFormat="1" x14ac:dyDescent="0.2">
      <c r="G68" s="660"/>
      <c r="H68" s="660"/>
      <c r="K68" s="297"/>
      <c r="L68" s="297"/>
    </row>
    <row r="69" spans="7:12" s="659" customFormat="1" x14ac:dyDescent="0.2">
      <c r="G69" s="660"/>
      <c r="H69" s="660"/>
      <c r="K69" s="297"/>
      <c r="L69" s="297"/>
    </row>
    <row r="70" spans="7:12" s="659" customFormat="1" x14ac:dyDescent="0.2">
      <c r="G70" s="660"/>
      <c r="H70" s="660"/>
      <c r="K70" s="297"/>
      <c r="L70" s="297"/>
    </row>
    <row r="71" spans="7:12" s="659" customFormat="1" x14ac:dyDescent="0.2">
      <c r="G71" s="660"/>
      <c r="H71" s="660"/>
      <c r="K71" s="297"/>
      <c r="L71" s="297"/>
    </row>
    <row r="72" spans="7:12" s="659" customFormat="1" x14ac:dyDescent="0.2">
      <c r="G72" s="660"/>
      <c r="H72" s="660"/>
      <c r="K72" s="297"/>
      <c r="L72" s="297"/>
    </row>
    <row r="73" spans="7:12" s="659" customFormat="1" x14ac:dyDescent="0.2">
      <c r="G73" s="660"/>
      <c r="H73" s="660"/>
      <c r="K73" s="297"/>
      <c r="L73" s="297"/>
    </row>
    <row r="74" spans="7:12" s="659" customFormat="1" x14ac:dyDescent="0.2">
      <c r="G74" s="660"/>
      <c r="H74" s="660"/>
      <c r="K74" s="297"/>
      <c r="L74" s="297"/>
    </row>
    <row r="75" spans="7:12" s="659" customFormat="1" x14ac:dyDescent="0.2">
      <c r="G75" s="660"/>
      <c r="H75" s="660"/>
      <c r="K75" s="297"/>
      <c r="L75" s="297"/>
    </row>
    <row r="76" spans="7:12" s="659" customFormat="1" x14ac:dyDescent="0.2">
      <c r="G76" s="660"/>
      <c r="H76" s="660"/>
      <c r="K76" s="297"/>
      <c r="L76" s="297"/>
    </row>
    <row r="77" spans="7:12" s="659" customFormat="1" x14ac:dyDescent="0.2">
      <c r="G77" s="660"/>
      <c r="H77" s="660"/>
      <c r="K77" s="297"/>
      <c r="L77" s="297"/>
    </row>
    <row r="78" spans="7:12" s="659" customFormat="1" x14ac:dyDescent="0.2">
      <c r="G78" s="660"/>
      <c r="H78" s="660"/>
      <c r="K78" s="297"/>
      <c r="L78" s="297"/>
    </row>
    <row r="79" spans="7:12" s="659" customFormat="1" x14ac:dyDescent="0.2">
      <c r="G79" s="660"/>
      <c r="H79" s="660"/>
      <c r="K79" s="297"/>
      <c r="L79" s="297"/>
    </row>
    <row r="80" spans="7:12" s="659" customFormat="1" x14ac:dyDescent="0.2">
      <c r="G80" s="660"/>
      <c r="H80" s="660"/>
      <c r="K80" s="297"/>
      <c r="L80" s="297"/>
    </row>
    <row r="81" spans="7:12" s="659" customFormat="1" x14ac:dyDescent="0.2">
      <c r="G81" s="660"/>
      <c r="H81" s="660"/>
      <c r="K81" s="297"/>
      <c r="L81" s="297"/>
    </row>
    <row r="82" spans="7:12" s="659" customFormat="1" x14ac:dyDescent="0.2">
      <c r="G82" s="660"/>
      <c r="H82" s="660"/>
      <c r="K82" s="297"/>
      <c r="L82" s="297"/>
    </row>
    <row r="83" spans="7:12" s="659" customFormat="1" x14ac:dyDescent="0.2">
      <c r="G83" s="660"/>
      <c r="H83" s="660"/>
      <c r="K83" s="297"/>
      <c r="L83" s="297"/>
    </row>
    <row r="84" spans="7:12" s="659" customFormat="1" x14ac:dyDescent="0.2">
      <c r="G84" s="660"/>
      <c r="H84" s="660"/>
      <c r="K84" s="297"/>
      <c r="L84" s="297"/>
    </row>
    <row r="85" spans="7:12" s="659" customFormat="1" x14ac:dyDescent="0.2">
      <c r="G85" s="660"/>
      <c r="H85" s="660"/>
      <c r="K85" s="297"/>
      <c r="L85" s="297"/>
    </row>
    <row r="86" spans="7:12" s="659" customFormat="1" x14ac:dyDescent="0.2">
      <c r="G86" s="660"/>
      <c r="H86" s="660"/>
      <c r="K86" s="297"/>
      <c r="L86" s="297"/>
    </row>
    <row r="87" spans="7:12" s="659" customFormat="1" x14ac:dyDescent="0.2">
      <c r="G87" s="660"/>
      <c r="H87" s="660"/>
      <c r="K87" s="297"/>
      <c r="L87" s="297"/>
    </row>
    <row r="88" spans="7:12" s="659" customFormat="1" x14ac:dyDescent="0.2">
      <c r="G88" s="660"/>
      <c r="H88" s="660"/>
      <c r="K88" s="297"/>
      <c r="L88" s="297"/>
    </row>
    <row r="89" spans="7:12" s="659" customFormat="1" x14ac:dyDescent="0.2">
      <c r="G89" s="660"/>
      <c r="H89" s="660"/>
      <c r="K89" s="297"/>
      <c r="L89" s="297"/>
    </row>
    <row r="90" spans="7:12" s="659" customFormat="1" x14ac:dyDescent="0.2">
      <c r="G90" s="660"/>
      <c r="H90" s="660"/>
      <c r="K90" s="297"/>
      <c r="L90" s="297"/>
    </row>
    <row r="91" spans="7:12" s="659" customFormat="1" x14ac:dyDescent="0.2">
      <c r="G91" s="660"/>
      <c r="H91" s="660"/>
      <c r="K91" s="297"/>
      <c r="L91" s="297"/>
    </row>
    <row r="92" spans="7:12" s="659" customFormat="1" x14ac:dyDescent="0.2">
      <c r="G92" s="660"/>
      <c r="H92" s="660"/>
      <c r="K92" s="297"/>
      <c r="L92" s="297"/>
    </row>
    <row r="93" spans="7:12" s="659" customFormat="1" x14ac:dyDescent="0.2">
      <c r="G93" s="660"/>
      <c r="H93" s="660"/>
      <c r="K93" s="297"/>
      <c r="L93" s="297"/>
    </row>
    <row r="94" spans="7:12" s="659" customFormat="1" x14ac:dyDescent="0.2">
      <c r="G94" s="660"/>
      <c r="H94" s="660"/>
      <c r="K94" s="297"/>
      <c r="L94" s="297"/>
    </row>
    <row r="95" spans="7:12" s="659" customFormat="1" x14ac:dyDescent="0.2">
      <c r="G95" s="660"/>
      <c r="H95" s="660"/>
      <c r="K95" s="297"/>
      <c r="L95" s="297"/>
    </row>
    <row r="96" spans="7:12" s="659" customFormat="1" x14ac:dyDescent="0.2">
      <c r="G96" s="660"/>
      <c r="H96" s="660"/>
      <c r="K96" s="297"/>
      <c r="L96" s="297"/>
    </row>
    <row r="97" spans="7:12" s="659" customFormat="1" x14ac:dyDescent="0.2">
      <c r="G97" s="660"/>
      <c r="H97" s="660"/>
      <c r="K97" s="297"/>
      <c r="L97" s="297"/>
    </row>
    <row r="98" spans="7:12" s="659" customFormat="1" x14ac:dyDescent="0.2">
      <c r="G98" s="660"/>
      <c r="H98" s="660"/>
      <c r="K98" s="297"/>
      <c r="L98" s="297"/>
    </row>
    <row r="99" spans="7:12" s="659" customFormat="1" x14ac:dyDescent="0.2">
      <c r="G99" s="660"/>
      <c r="H99" s="660"/>
      <c r="K99" s="297"/>
      <c r="L99" s="297"/>
    </row>
    <row r="100" spans="7:12" s="659" customFormat="1" x14ac:dyDescent="0.2">
      <c r="G100" s="660"/>
      <c r="H100" s="660"/>
      <c r="K100" s="297"/>
      <c r="L100" s="297"/>
    </row>
    <row r="101" spans="7:12" s="659" customFormat="1" x14ac:dyDescent="0.2">
      <c r="G101" s="660"/>
      <c r="H101" s="660"/>
      <c r="K101" s="297"/>
      <c r="L101" s="297"/>
    </row>
    <row r="102" spans="7:12" s="659" customFormat="1" x14ac:dyDescent="0.2">
      <c r="G102" s="660"/>
      <c r="H102" s="660"/>
      <c r="K102" s="297"/>
      <c r="L102" s="297"/>
    </row>
    <row r="103" spans="7:12" s="659" customFormat="1" x14ac:dyDescent="0.2">
      <c r="G103" s="660"/>
      <c r="H103" s="660"/>
      <c r="K103" s="297"/>
      <c r="L103" s="297"/>
    </row>
    <row r="104" spans="7:12" s="659" customFormat="1" x14ac:dyDescent="0.2">
      <c r="G104" s="660"/>
      <c r="H104" s="660"/>
      <c r="K104" s="297"/>
      <c r="L104" s="297"/>
    </row>
    <row r="105" spans="7:12" s="659" customFormat="1" x14ac:dyDescent="0.2">
      <c r="G105" s="660"/>
      <c r="H105" s="660"/>
      <c r="K105" s="297"/>
      <c r="L105" s="297"/>
    </row>
    <row r="106" spans="7:12" s="659" customFormat="1" x14ac:dyDescent="0.2">
      <c r="G106" s="660"/>
      <c r="H106" s="660"/>
      <c r="K106" s="297"/>
      <c r="L106" s="297"/>
    </row>
    <row r="107" spans="7:12" s="659" customFormat="1" x14ac:dyDescent="0.2">
      <c r="G107" s="660"/>
      <c r="H107" s="660"/>
      <c r="K107" s="297"/>
      <c r="L107" s="297"/>
    </row>
    <row r="108" spans="7:12" s="659" customFormat="1" x14ac:dyDescent="0.2">
      <c r="G108" s="660"/>
      <c r="H108" s="660"/>
      <c r="K108" s="297"/>
      <c r="L108" s="297"/>
    </row>
  </sheetData>
  <mergeCells count="35">
    <mergeCell ref="B16:E16"/>
    <mergeCell ref="B2:E2"/>
    <mergeCell ref="D49:E49"/>
    <mergeCell ref="B24:E24"/>
    <mergeCell ref="B25:E25"/>
    <mergeCell ref="B28:E28"/>
    <mergeCell ref="B29:E29"/>
    <mergeCell ref="B26:E26"/>
    <mergeCell ref="B27:E27"/>
    <mergeCell ref="B17:E17"/>
    <mergeCell ref="B20:E20"/>
    <mergeCell ref="B21:E21"/>
    <mergeCell ref="B19:E19"/>
    <mergeCell ref="B18:E18"/>
    <mergeCell ref="B41:E41"/>
    <mergeCell ref="B22:E22"/>
    <mergeCell ref="B48:E48"/>
    <mergeCell ref="D46:E46"/>
    <mergeCell ref="D44:E44"/>
    <mergeCell ref="B38:E38"/>
    <mergeCell ref="B43:E43"/>
    <mergeCell ref="B45:E45"/>
    <mergeCell ref="B47:E47"/>
    <mergeCell ref="B39:E39"/>
    <mergeCell ref="D40:E40"/>
    <mergeCell ref="D42:E42"/>
    <mergeCell ref="B35:E35"/>
    <mergeCell ref="B37:E37"/>
    <mergeCell ref="B34:E34"/>
    <mergeCell ref="B36:E36"/>
    <mergeCell ref="B23:E23"/>
    <mergeCell ref="B30:E30"/>
    <mergeCell ref="B32:E32"/>
    <mergeCell ref="B31:E31"/>
    <mergeCell ref="B33:E33"/>
  </mergeCells>
  <phoneticPr fontId="19" type="noConversion"/>
  <conditionalFormatting sqref="D13:D14">
    <cfRule type="expression" priority="10" stopIfTrue="1">
      <formula>$D$4=0</formula>
    </cfRule>
    <cfRule type="cellIs" dxfId="72" priority="11" stopIfTrue="1" operator="equal">
      <formula>$C$13</formula>
    </cfRule>
    <cfRule type="cellIs" dxfId="71" priority="12" stopIfTrue="1" operator="notEqual">
      <formula>$C$13</formula>
    </cfRule>
  </conditionalFormatting>
  <conditionalFormatting sqref="D12">
    <cfRule type="expression" priority="13" stopIfTrue="1">
      <formula>$D$4=0</formula>
    </cfRule>
    <cfRule type="cellIs" dxfId="70" priority="14" stopIfTrue="1" operator="greaterThanOrEqual">
      <formula>$C$12</formula>
    </cfRule>
    <cfRule type="cellIs" dxfId="69" priority="15" stopIfTrue="1" operator="lessThan">
      <formula>$C$12</formula>
    </cfRule>
  </conditionalFormatting>
  <conditionalFormatting sqref="D4">
    <cfRule type="cellIs" priority="7" stopIfTrue="1" operator="equal">
      <formula>0</formula>
    </cfRule>
    <cfRule type="cellIs" dxfId="68" priority="8" stopIfTrue="1" operator="greaterThanOrEqual">
      <formula>$C$4</formula>
    </cfRule>
    <cfRule type="cellIs" dxfId="67" priority="9" stopIfTrue="1" operator="lessThan">
      <formula>$C$4</formula>
    </cfRule>
  </conditionalFormatting>
  <conditionalFormatting sqref="D10">
    <cfRule type="expression" priority="19" stopIfTrue="1">
      <formula>$D$4=0</formula>
    </cfRule>
    <cfRule type="cellIs" dxfId="66" priority="20" stopIfTrue="1" operator="greaterThanOrEqual">
      <formula>$C$10</formula>
    </cfRule>
    <cfRule type="cellIs" dxfId="65" priority="21" stopIfTrue="1" operator="lessThan">
      <formula>$C$10</formula>
    </cfRule>
  </conditionalFormatting>
  <conditionalFormatting sqref="D11">
    <cfRule type="expression" priority="22" stopIfTrue="1">
      <formula>$D$4=0</formula>
    </cfRule>
    <cfRule type="cellIs" dxfId="64" priority="23" stopIfTrue="1" operator="greaterThanOrEqual">
      <formula>$C$11</formula>
    </cfRule>
    <cfRule type="cellIs" dxfId="63" priority="24" stopIfTrue="1" operator="lessThan">
      <formula>$C$11</formula>
    </cfRule>
  </conditionalFormatting>
  <conditionalFormatting sqref="D6">
    <cfRule type="cellIs" priority="25" stopIfTrue="1" operator="equal">
      <formula>0</formula>
    </cfRule>
    <cfRule type="cellIs" dxfId="62" priority="26" stopIfTrue="1" operator="greaterThanOrEqual">
      <formula>$C$6</formula>
    </cfRule>
    <cfRule type="cellIs" dxfId="61" priority="27" stopIfTrue="1" operator="lessThan">
      <formula>$C$6</formula>
    </cfRule>
  </conditionalFormatting>
  <conditionalFormatting sqref="D7">
    <cfRule type="cellIs" priority="28" stopIfTrue="1" operator="equal">
      <formula>0</formula>
    </cfRule>
    <cfRule type="cellIs" dxfId="60" priority="29" stopIfTrue="1" operator="greaterThanOrEqual">
      <formula>$C$7</formula>
    </cfRule>
    <cfRule type="cellIs" dxfId="59" priority="30" stopIfTrue="1" operator="lessThan">
      <formula>$C$7</formula>
    </cfRule>
  </conditionalFormatting>
  <conditionalFormatting sqref="D9">
    <cfRule type="cellIs" priority="34" stopIfTrue="1" operator="equal">
      <formula>0</formula>
    </cfRule>
    <cfRule type="cellIs" dxfId="58" priority="35" stopIfTrue="1" operator="greaterThanOrEqual">
      <formula>$C$9</formula>
    </cfRule>
    <cfRule type="cellIs" dxfId="57" priority="36" stopIfTrue="1" operator="lessThan">
      <formula>$C$9</formula>
    </cfRule>
  </conditionalFormatting>
  <conditionalFormatting sqref="D5">
    <cfRule type="cellIs" priority="37" stopIfTrue="1" operator="equal">
      <formula>0</formula>
    </cfRule>
    <cfRule type="cellIs" dxfId="56" priority="38" stopIfTrue="1" operator="greaterThanOrEqual">
      <formula>$C$5</formula>
    </cfRule>
    <cfRule type="cellIs" dxfId="55" priority="39" stopIfTrue="1" operator="lessThan">
      <formula>$C$5</formula>
    </cfRule>
  </conditionalFormatting>
  <conditionalFormatting sqref="D8">
    <cfRule type="expression" priority="67" stopIfTrue="1">
      <formula>$D$4=0</formula>
    </cfRule>
    <cfRule type="cellIs" dxfId="54" priority="68" stopIfTrue="1" operator="greaterThanOrEqual">
      <formula>$C$8</formula>
    </cfRule>
    <cfRule type="cellIs" dxfId="53" priority="69" stopIfTrue="1" operator="lessThan">
      <formula>$C$8</formula>
    </cfRule>
  </conditionalFormatting>
  <dataValidations count="3">
    <dataValidation type="list" allowBlank="1" showInputMessage="1" showErrorMessage="1" sqref="B40" xr:uid="{00000000-0002-0000-0100-000000000000}">
      <formula1>$K$39:$R$39</formula1>
    </dataValidation>
    <dataValidation type="list" allowBlank="1" showInputMessage="1" showErrorMessage="1" sqref="B42 B44 B49" xr:uid="{00000000-0002-0000-0100-000001000000}">
      <formula1>$K$47:$M$47</formula1>
    </dataValidation>
    <dataValidation type="list" allowBlank="1" showInputMessage="1" showErrorMessage="1" sqref="B46" xr:uid="{00000000-0002-0000-0100-000002000000}">
      <formula1>$K$45:$M$45</formula1>
    </dataValidation>
  </dataValidations>
  <hyperlinks>
    <hyperlink ref="B48:D48" r:id="rId1" display="Click here to learn more about the Deal Desk Submission Process." xr:uid="{00000000-0004-0000-0100-000000000000}"/>
    <hyperlink ref="B48:E48" r:id="rId2" display="Click here to learn more about the Deal Desk Submission Process." xr:uid="{00000000-0004-0000-0100-000001000000}"/>
  </hyperlinks>
  <pageMargins left="0.75" right="0.75" top="1" bottom="1" header="0.5" footer="0.5"/>
  <pageSetup orientation="portrait" horizontalDpi="0" verticalDpi="0"/>
  <headerFooter alignWithMargins="0"/>
  <legacy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V382"/>
  <sheetViews>
    <sheetView showGridLines="0" workbookViewId="0">
      <selection activeCell="D7" sqref="D7"/>
    </sheetView>
  </sheetViews>
  <sheetFormatPr defaultColWidth="8.85546875" defaultRowHeight="12.75" x14ac:dyDescent="0.2"/>
  <cols>
    <col min="1" max="1" width="2.7109375" style="523" customWidth="1"/>
    <col min="2" max="2" width="9.85546875" style="523" customWidth="1"/>
    <col min="3" max="3" width="8.42578125" style="523" customWidth="1"/>
    <col min="4" max="4" width="10.42578125" style="523" customWidth="1"/>
    <col min="5" max="5" width="11.85546875" style="523" customWidth="1"/>
    <col min="6" max="6" width="8.85546875" style="523" customWidth="1"/>
    <col min="7" max="7" width="9.42578125" style="523" customWidth="1"/>
    <col min="8" max="8" width="10.42578125" style="523" customWidth="1"/>
    <col min="9" max="9" width="10.28515625" style="514" customWidth="1"/>
    <col min="10" max="11" width="9.85546875" style="523" customWidth="1"/>
    <col min="12" max="12" width="9.42578125" style="523" customWidth="1"/>
    <col min="13" max="13" width="9.85546875" style="523" customWidth="1"/>
    <col min="14" max="14" width="3.28515625" style="523" customWidth="1"/>
    <col min="15" max="15" width="10.7109375" style="523" customWidth="1"/>
    <col min="16" max="16" width="3.28515625" style="523" customWidth="1"/>
    <col min="17" max="17" width="11.42578125" style="523" customWidth="1"/>
    <col min="18" max="18" width="3.28515625" style="523" customWidth="1"/>
    <col min="19" max="19" width="13.140625" style="523" customWidth="1"/>
    <col min="20" max="20" width="2.7109375" style="523" customWidth="1"/>
    <col min="21" max="21" width="11.42578125" style="523" customWidth="1"/>
    <col min="22" max="22" width="2.7109375" style="523" customWidth="1"/>
    <col min="23" max="23" width="11.140625" style="523" customWidth="1"/>
    <col min="24" max="24" width="3.85546875" style="523" customWidth="1"/>
    <col min="25" max="25" width="10.28515625" style="523" customWidth="1"/>
    <col min="26" max="26" width="2.42578125" style="523" customWidth="1"/>
    <col min="27" max="27" width="10.42578125" style="523" customWidth="1"/>
    <col min="28" max="28" width="2.42578125" style="523" customWidth="1"/>
    <col min="29" max="29" width="11.7109375" style="523" bestFit="1" customWidth="1"/>
    <col min="30" max="16384" width="8.85546875" style="523"/>
  </cols>
  <sheetData>
    <row r="1" spans="1:22" ht="15.75" x14ac:dyDescent="0.2">
      <c r="A1" s="1002" t="s">
        <v>2</v>
      </c>
      <c r="B1" s="1003"/>
      <c r="C1" s="1003"/>
      <c r="D1" s="1003"/>
      <c r="E1" s="1003"/>
      <c r="F1" s="1003"/>
      <c r="G1" s="1003"/>
      <c r="H1" s="1003"/>
      <c r="I1" s="1003"/>
      <c r="J1" s="1003"/>
      <c r="K1" s="1003"/>
      <c r="L1" s="1003"/>
      <c r="M1" s="466"/>
      <c r="N1" s="466"/>
      <c r="O1" s="466"/>
      <c r="P1" s="466"/>
      <c r="Q1" s="466"/>
      <c r="R1" s="466"/>
      <c r="S1" s="466"/>
      <c r="T1" s="466"/>
      <c r="U1" s="466"/>
      <c r="V1" s="466"/>
    </row>
    <row r="2" spans="1:22" x14ac:dyDescent="0.2">
      <c r="A2" s="466"/>
      <c r="B2" s="466"/>
      <c r="C2" s="466"/>
      <c r="D2" s="466"/>
      <c r="E2" s="466"/>
      <c r="F2" s="466"/>
      <c r="G2" s="466"/>
      <c r="H2" s="466"/>
      <c r="I2" s="489"/>
      <c r="J2" s="466"/>
      <c r="K2" s="466"/>
      <c r="L2" s="466"/>
      <c r="M2" s="466"/>
      <c r="N2" s="466"/>
      <c r="O2" s="466"/>
      <c r="P2" s="466"/>
      <c r="Q2" s="466"/>
      <c r="R2" s="466"/>
      <c r="S2" s="466"/>
      <c r="T2" s="466"/>
      <c r="U2" s="466"/>
      <c r="V2" s="466"/>
    </row>
    <row r="3" spans="1:22" x14ac:dyDescent="0.2">
      <c r="A3" s="466"/>
      <c r="B3" s="466"/>
      <c r="C3" s="518" t="s">
        <v>127</v>
      </c>
      <c r="D3" s="622">
        <f>Summary!D12</f>
        <v>13518397</v>
      </c>
      <c r="E3" s="466"/>
      <c r="F3" s="466"/>
      <c r="G3" s="466"/>
      <c r="H3" s="466"/>
      <c r="I3" s="489"/>
      <c r="J3" s="466"/>
      <c r="K3" s="466"/>
      <c r="L3" s="466"/>
      <c r="M3" s="466"/>
      <c r="N3" s="466"/>
      <c r="O3" s="466"/>
      <c r="P3" s="466"/>
      <c r="Q3" s="466"/>
      <c r="R3" s="466"/>
      <c r="S3" s="466"/>
      <c r="T3" s="466"/>
      <c r="U3" s="466"/>
      <c r="V3" s="466"/>
    </row>
    <row r="4" spans="1:22" x14ac:dyDescent="0.2">
      <c r="A4" s="466"/>
      <c r="B4" s="466"/>
      <c r="C4" s="518" t="s">
        <v>13</v>
      </c>
      <c r="D4" s="623">
        <f>Summary!D13</f>
        <v>4.7500000000000001E-2</v>
      </c>
      <c r="E4" s="466"/>
      <c r="F4" s="466"/>
      <c r="G4" s="466"/>
      <c r="H4" s="466"/>
      <c r="I4" s="489"/>
      <c r="J4" s="466"/>
      <c r="K4" s="466"/>
      <c r="L4" s="466"/>
      <c r="M4" s="466"/>
      <c r="N4" s="466"/>
      <c r="O4" s="466"/>
      <c r="P4" s="466"/>
      <c r="Q4" s="466"/>
      <c r="R4" s="466"/>
      <c r="S4" s="466"/>
      <c r="T4" s="466"/>
      <c r="U4" s="466"/>
      <c r="V4" s="466"/>
    </row>
    <row r="5" spans="1:22" x14ac:dyDescent="0.2">
      <c r="A5" s="466"/>
      <c r="B5" s="466"/>
      <c r="C5" s="518" t="s">
        <v>4</v>
      </c>
      <c r="D5" s="624">
        <f>Summary!D14</f>
        <v>30</v>
      </c>
      <c r="E5" s="466"/>
      <c r="I5" s="489"/>
      <c r="J5" s="466"/>
      <c r="K5" s="466"/>
      <c r="L5" s="466"/>
      <c r="M5" s="466"/>
      <c r="N5" s="466"/>
      <c r="O5" s="466"/>
      <c r="P5" s="466"/>
      <c r="Q5" s="466"/>
      <c r="R5" s="466"/>
      <c r="S5" s="466"/>
      <c r="T5" s="466"/>
      <c r="U5" s="466"/>
      <c r="V5" s="466"/>
    </row>
    <row r="6" spans="1:22" x14ac:dyDescent="0.2">
      <c r="A6" s="466"/>
      <c r="C6" s="561" t="s">
        <v>225</v>
      </c>
      <c r="D6" s="564">
        <v>36</v>
      </c>
      <c r="E6" s="466"/>
      <c r="F6" s="466"/>
      <c r="G6" s="466"/>
      <c r="H6" s="466"/>
      <c r="I6" s="489"/>
      <c r="J6" s="466"/>
      <c r="K6" s="466"/>
      <c r="L6" s="466"/>
      <c r="M6" s="466"/>
      <c r="N6" s="466"/>
      <c r="O6" s="466"/>
      <c r="P6" s="466"/>
      <c r="Q6" s="466"/>
      <c r="R6" s="466"/>
      <c r="S6" s="466"/>
      <c r="T6" s="466"/>
      <c r="U6" s="466"/>
      <c r="V6" s="466"/>
    </row>
    <row r="7" spans="1:22" x14ac:dyDescent="0.2">
      <c r="A7" s="466"/>
      <c r="B7" s="466"/>
      <c r="C7" s="518" t="s">
        <v>3</v>
      </c>
      <c r="D7" s="625">
        <f>PMT(D4/12,(D5*12)-D6,-D3)</f>
        <v>74118.749855499453</v>
      </c>
      <c r="E7" s="466"/>
      <c r="F7" s="466"/>
      <c r="G7" s="466"/>
      <c r="H7" s="466"/>
      <c r="I7" s="489"/>
      <c r="J7" s="466"/>
      <c r="K7" s="466"/>
      <c r="L7" s="466"/>
      <c r="M7" s="466"/>
      <c r="N7" s="466"/>
      <c r="O7" s="466"/>
      <c r="P7" s="466"/>
      <c r="Q7" s="466"/>
      <c r="R7" s="466"/>
      <c r="S7" s="466"/>
      <c r="T7" s="466"/>
      <c r="U7" s="466"/>
      <c r="V7" s="466"/>
    </row>
    <row r="8" spans="1:22" x14ac:dyDescent="0.2">
      <c r="A8" s="466"/>
      <c r="B8" s="466"/>
      <c r="C8" s="518" t="s">
        <v>17</v>
      </c>
      <c r="D8" s="626">
        <f>SUM(D17:D378)</f>
        <v>12422449.52568182</v>
      </c>
      <c r="E8" s="466"/>
      <c r="F8" s="466"/>
      <c r="G8" s="466"/>
      <c r="H8" s="466"/>
      <c r="I8" s="489"/>
      <c r="J8" s="466"/>
      <c r="K8" s="466"/>
      <c r="L8" s="466"/>
      <c r="M8" s="466"/>
      <c r="N8" s="466"/>
      <c r="O8" s="466"/>
      <c r="P8" s="466"/>
      <c r="Q8" s="466"/>
      <c r="R8" s="466"/>
      <c r="S8" s="466"/>
      <c r="T8" s="466"/>
      <c r="U8" s="466"/>
      <c r="V8" s="466"/>
    </row>
    <row r="9" spans="1:22" x14ac:dyDescent="0.2">
      <c r="A9" s="466"/>
      <c r="B9" s="452" t="s">
        <v>14</v>
      </c>
      <c r="C9" s="518"/>
      <c r="D9" s="626">
        <f>SUM(C18:C29)</f>
        <v>642123.85749999993</v>
      </c>
      <c r="E9" s="466"/>
      <c r="F9" s="466"/>
      <c r="G9" s="466"/>
      <c r="H9" s="466"/>
      <c r="I9" s="489"/>
      <c r="J9" s="466"/>
      <c r="K9" s="466"/>
      <c r="L9" s="466"/>
      <c r="M9" s="466"/>
      <c r="N9" s="466"/>
      <c r="O9" s="466"/>
      <c r="P9" s="466"/>
      <c r="Q9" s="466"/>
      <c r="R9" s="466"/>
      <c r="S9" s="466"/>
      <c r="T9" s="466"/>
      <c r="U9" s="466"/>
      <c r="V9" s="466"/>
    </row>
    <row r="10" spans="1:22" x14ac:dyDescent="0.2">
      <c r="A10" s="466"/>
      <c r="B10" s="518"/>
      <c r="C10" s="519"/>
      <c r="D10" s="466"/>
      <c r="E10" s="466"/>
      <c r="F10" s="466"/>
      <c r="G10" s="466"/>
      <c r="H10" s="466"/>
      <c r="I10" s="489"/>
      <c r="J10" s="466"/>
      <c r="K10" s="466"/>
      <c r="L10" s="466"/>
      <c r="M10" s="466"/>
      <c r="N10" s="466"/>
      <c r="O10" s="466"/>
      <c r="P10" s="466"/>
      <c r="Q10" s="466"/>
      <c r="R10" s="466"/>
      <c r="S10" s="466"/>
      <c r="T10" s="466"/>
      <c r="U10" s="466"/>
      <c r="V10" s="466"/>
    </row>
    <row r="11" spans="1:22" s="526" customFormat="1" ht="11.25" x14ac:dyDescent="0.2">
      <c r="A11" s="489"/>
      <c r="B11" s="615" t="s">
        <v>0</v>
      </c>
      <c r="C11" s="616">
        <v>1</v>
      </c>
      <c r="D11" s="616">
        <f t="shared" ref="D11:L11" si="0">C11+1</f>
        <v>2</v>
      </c>
      <c r="E11" s="616">
        <f t="shared" si="0"/>
        <v>3</v>
      </c>
      <c r="F11" s="616">
        <f t="shared" si="0"/>
        <v>4</v>
      </c>
      <c r="G11" s="616">
        <f t="shared" si="0"/>
        <v>5</v>
      </c>
      <c r="H11" s="616">
        <f t="shared" si="0"/>
        <v>6</v>
      </c>
      <c r="I11" s="616">
        <f t="shared" si="0"/>
        <v>7</v>
      </c>
      <c r="J11" s="616">
        <f t="shared" si="0"/>
        <v>8</v>
      </c>
      <c r="K11" s="616">
        <f t="shared" si="0"/>
        <v>9</v>
      </c>
      <c r="L11" s="616">
        <f t="shared" si="0"/>
        <v>10</v>
      </c>
      <c r="M11" s="489"/>
      <c r="N11" s="491"/>
      <c r="O11" s="489"/>
      <c r="P11" s="491"/>
      <c r="Q11" s="489"/>
      <c r="R11" s="491"/>
      <c r="S11" s="515"/>
      <c r="T11" s="489"/>
      <c r="U11" s="489"/>
      <c r="V11" s="489"/>
    </row>
    <row r="12" spans="1:22" s="526" customFormat="1" ht="11.25" x14ac:dyDescent="0.2">
      <c r="A12" s="489"/>
      <c r="B12" s="520" t="s">
        <v>8</v>
      </c>
      <c r="C12" s="629">
        <f ca="1">OFFSET($G$17,12*C11,0)</f>
        <v>0</v>
      </c>
      <c r="D12" s="629">
        <f ca="1">IF(D11&lt;=Summary!$D$14,OFFSET($G$17,12*D11,0)-SUM(A12:C12),0)</f>
        <v>0</v>
      </c>
      <c r="E12" s="629">
        <f ca="1">IF(E11&lt;=Summary!$D$14,OFFSET($G$17,12*E11,0)-SUM(B12:D12),0)</f>
        <v>0</v>
      </c>
      <c r="F12" s="629">
        <f ca="1">IF(F11&lt;=Summary!$D$14,OFFSET($G$17,12*F11,0)-SUM(C12:E12),0)</f>
        <v>252756.76764925971</v>
      </c>
      <c r="G12" s="629">
        <f ca="1">IF(G11&lt;=Summary!$D$14,OFFSET($G$17,12*G11,0)-SUM(A12:F12),0)</f>
        <v>265027.57323974156</v>
      </c>
      <c r="H12" s="629">
        <f ca="1">IF(H11&lt;=Summary!$D$14,OFFSET($G$17,12*H11,0)-SUM(B12:G12),0)</f>
        <v>277894.10044527554</v>
      </c>
      <c r="I12" s="629">
        <f ca="1">IF(I11&lt;=Summary!$D$14,OFFSET($G$17,12*I11,0)-SUM(C12:H12),0)</f>
        <v>291385.27028820373</v>
      </c>
      <c r="J12" s="629">
        <f ca="1">IF(J11&lt;=Summary!$D$14,OFFSET($G$17,12*J11,0)-SUM(A12:I12),0)</f>
        <v>305531.40784523287</v>
      </c>
      <c r="K12" s="629">
        <f ca="1">IF(K11&lt;=Summary!$D$14,OFFSET($G$17,12*K11,0)-SUM(B12:J12),0)</f>
        <v>320364.31041129748</v>
      </c>
      <c r="L12" s="629">
        <f ca="1">IF(L11&lt;=Summary!$D$14,OFFSET($G$17,12*L11,0)-SUM(C12:K12),0)</f>
        <v>335917.31897263904</v>
      </c>
      <c r="M12" s="489"/>
      <c r="N12" s="489"/>
      <c r="O12" s="489"/>
      <c r="P12" s="489"/>
      <c r="Q12" s="489"/>
      <c r="R12" s="489"/>
      <c r="S12" s="516"/>
      <c r="T12" s="489"/>
      <c r="U12" s="489"/>
      <c r="V12" s="489"/>
    </row>
    <row r="13" spans="1:22" s="526" customFormat="1" ht="11.25" x14ac:dyDescent="0.2">
      <c r="A13" s="489"/>
      <c r="B13" s="520" t="s">
        <v>19</v>
      </c>
      <c r="C13" s="629">
        <f ca="1">OFFSET($E$17,12*C11,0)</f>
        <v>642123.85749999993</v>
      </c>
      <c r="D13" s="629">
        <f ca="1">IF(D11&lt;=Summary!$D$14,OFFSET($E$17,12*D11,0)-SUM(A13:C13),0)</f>
        <v>642123.85749999993</v>
      </c>
      <c r="E13" s="629">
        <f ca="1">IF(E11&lt;=Summary!$D$14,OFFSET($E$17,12*E11,0)-SUM(B13:D13),0)</f>
        <v>642123.85750000086</v>
      </c>
      <c r="F13" s="629">
        <f ca="1">IF(F11&lt;=Summary!$D$14,OFFSET($E$17,12*F11,0)-SUM(C13:E13),0)</f>
        <v>636668.23061673436</v>
      </c>
      <c r="G13" s="629">
        <f ca="1">IF(G11&lt;=Summary!$D$14,OFFSET($E$17,12*G11,0)-SUM(A13:F13),0)</f>
        <v>624397.42502625193</v>
      </c>
      <c r="H13" s="629">
        <f ca="1">IF(H11&lt;=Summary!$D$14,OFFSET($E$17,12*H11,0)-SUM(B13:G13),0)</f>
        <v>611530.89782071859</v>
      </c>
      <c r="I13" s="629">
        <f ca="1">IF(I11&lt;=Summary!$D$14,OFFSET($E$17,12*I11,0)-SUM(C13:H13),0)</f>
        <v>598039.72797778901</v>
      </c>
      <c r="J13" s="629">
        <f ca="1">IF(J11&lt;=Summary!$D$14,OFFSET($E$17,12*J11,0)-SUM(A13:I13),0)</f>
        <v>583893.59042076208</v>
      </c>
      <c r="K13" s="629">
        <f ca="1">IF(K11&lt;=Summary!$D$14,OFFSET($E$17,12*K11,0)-SUM(B13:J13),0)</f>
        <v>569060.6878546942</v>
      </c>
      <c r="L13" s="629">
        <f ca="1">IF(L11&lt;=Summary!$D$14,OFFSET($E$17,12*L11,0)-SUM(C13:K13),0)</f>
        <v>553507.6792933559</v>
      </c>
      <c r="M13" s="489"/>
      <c r="N13" s="489"/>
      <c r="O13" s="489"/>
      <c r="P13" s="489"/>
      <c r="Q13" s="489"/>
      <c r="R13" s="489"/>
      <c r="S13" s="516"/>
      <c r="T13" s="489"/>
      <c r="U13" s="489"/>
      <c r="V13" s="489"/>
    </row>
    <row r="14" spans="1:22" s="526" customFormat="1" ht="11.25" x14ac:dyDescent="0.2">
      <c r="A14" s="489"/>
      <c r="B14" s="520" t="s">
        <v>22</v>
      </c>
      <c r="C14" s="630">
        <f ca="1">OFFSET($H$17,C11*12,0)</f>
        <v>13518397</v>
      </c>
      <c r="D14" s="629">
        <f ca="1">IF(D11&lt;=Summary!$D$14,OFFSET($H$17,D11*12,0),0)</f>
        <v>13518397</v>
      </c>
      <c r="E14" s="629">
        <f ca="1">IF(E11&lt;=Summary!$D$14,OFFSET($H$17,E11*12,0),0)</f>
        <v>13518397</v>
      </c>
      <c r="F14" s="629">
        <f ca="1">IF(F11&lt;=Summary!$D$14,OFFSET($H$17,F11*12,0),0)</f>
        <v>13265640.232350739</v>
      </c>
      <c r="G14" s="629">
        <f ca="1">IF(G11&lt;=Summary!$D$14,OFFSET($H$17,G11*12,0),0)</f>
        <v>13000612.659110995</v>
      </c>
      <c r="H14" s="629">
        <f ca="1">IF(H11&lt;=Summary!$D$14,OFFSET($H$17,H11*12,0),0)</f>
        <v>12722718.558665721</v>
      </c>
      <c r="I14" s="629">
        <f ca="1">IF(I11&lt;=Summary!$D$14,OFFSET($H$17,I11*12,0),0)</f>
        <v>12431333.288377516</v>
      </c>
      <c r="J14" s="629">
        <f ca="1">IF(J11&lt;=Summary!$D$14,OFFSET($H$17,J11*12,0),0)</f>
        <v>12125801.880532283</v>
      </c>
      <c r="K14" s="629">
        <f ca="1">IF(K11&lt;=Summary!$D$14,OFFSET($H$17,K11*12,0),0)</f>
        <v>11805437.570120987</v>
      </c>
      <c r="L14" s="629">
        <f ca="1">IF(L11&lt;=Summary!$D$14,OFFSET($H$17,L11*12,0),0)</f>
        <v>11469520.251148351</v>
      </c>
      <c r="M14" s="489"/>
      <c r="N14" s="517"/>
      <c r="O14" s="489"/>
      <c r="P14" s="517"/>
      <c r="Q14" s="489"/>
      <c r="R14" s="517"/>
      <c r="S14" s="517"/>
      <c r="T14" s="517"/>
      <c r="U14" s="489"/>
      <c r="V14" s="489"/>
    </row>
    <row r="15" spans="1:22" x14ac:dyDescent="0.2">
      <c r="A15" s="466"/>
      <c r="B15" s="466"/>
      <c r="C15" s="466"/>
      <c r="D15" s="466"/>
      <c r="E15" s="466"/>
      <c r="F15" s="466"/>
      <c r="G15" s="466"/>
      <c r="H15" s="466"/>
      <c r="I15" s="465"/>
      <c r="J15" s="466"/>
      <c r="K15" s="466"/>
      <c r="L15" s="466"/>
      <c r="M15" s="466"/>
      <c r="N15" s="466"/>
      <c r="O15" s="466"/>
      <c r="P15" s="466"/>
      <c r="Q15" s="466"/>
      <c r="R15" s="466"/>
      <c r="S15" s="466"/>
      <c r="T15" s="466"/>
      <c r="U15" s="466"/>
      <c r="V15" s="466"/>
    </row>
    <row r="16" spans="1:22" s="537" customFormat="1" ht="22.5" x14ac:dyDescent="0.2">
      <c r="A16" s="148"/>
      <c r="B16" s="538" t="s">
        <v>1</v>
      </c>
      <c r="C16" s="539" t="s">
        <v>18</v>
      </c>
      <c r="D16" s="540" t="s">
        <v>19</v>
      </c>
      <c r="E16" s="539" t="s">
        <v>20</v>
      </c>
      <c r="F16" s="539" t="s">
        <v>8</v>
      </c>
      <c r="G16" s="539" t="s">
        <v>21</v>
      </c>
      <c r="H16" s="539" t="s">
        <v>22</v>
      </c>
      <c r="I16" s="148"/>
      <c r="J16" s="148"/>
      <c r="K16" s="148"/>
      <c r="L16" s="148"/>
      <c r="M16" s="148"/>
      <c r="N16" s="148"/>
      <c r="O16" s="148"/>
      <c r="P16" s="148"/>
      <c r="Q16" s="148"/>
      <c r="R16" s="148"/>
      <c r="S16" s="148"/>
      <c r="T16" s="148"/>
      <c r="U16" s="148"/>
      <c r="V16" s="148"/>
    </row>
    <row r="17" spans="1:22" x14ac:dyDescent="0.2">
      <c r="A17" s="466"/>
      <c r="B17" s="541"/>
      <c r="C17" s="542"/>
      <c r="D17" s="543"/>
      <c r="E17" s="543"/>
      <c r="F17" s="543"/>
      <c r="G17" s="543"/>
      <c r="H17" s="544">
        <f>D3</f>
        <v>13518397</v>
      </c>
      <c r="I17" s="521"/>
      <c r="J17" s="466"/>
      <c r="K17" s="466"/>
      <c r="M17" s="466"/>
      <c r="N17" s="466"/>
      <c r="O17" s="466"/>
      <c r="P17" s="466"/>
      <c r="Q17" s="466"/>
      <c r="R17" s="466"/>
      <c r="S17" s="466"/>
      <c r="T17" s="466"/>
      <c r="U17" s="466"/>
      <c r="V17" s="466"/>
    </row>
    <row r="18" spans="1:22" x14ac:dyDescent="0.2">
      <c r="A18" s="466"/>
      <c r="B18" s="562">
        <f t="shared" ref="B18:B29" si="1">IF(B17&gt;=$D$5*12+$D$6,"",B17+1)</f>
        <v>1</v>
      </c>
      <c r="C18" s="563">
        <f t="shared" ref="C18:C81" si="2">IF(B18="","-",IF(B18&lt;=$D$6,D18,  $D$7))</f>
        <v>53510.321458333339</v>
      </c>
      <c r="D18" s="546">
        <f>IF(B18="","-",$D$4/12*H17)</f>
        <v>53510.321458333339</v>
      </c>
      <c r="E18" s="546">
        <f>IF(B18="","-",SUM($D$18:D18))</f>
        <v>53510.321458333339</v>
      </c>
      <c r="F18" s="546">
        <f t="shared" ref="F18:F81" si="3">IF(B18="","-",C18-D18)</f>
        <v>0</v>
      </c>
      <c r="G18" s="546">
        <f>IF(B18="","-",SUM($F$18:F18))</f>
        <v>0</v>
      </c>
      <c r="H18" s="546">
        <f t="shared" ref="H18:H81" si="4">IF(B18="","-",H17-F18)</f>
        <v>13518397</v>
      </c>
      <c r="I18" s="465"/>
      <c r="J18" s="466"/>
      <c r="K18" s="466"/>
      <c r="M18" s="466"/>
      <c r="N18" s="466"/>
      <c r="O18" s="466"/>
      <c r="P18" s="466"/>
      <c r="Q18" s="466"/>
      <c r="R18" s="466"/>
      <c r="S18" s="466"/>
      <c r="T18" s="466"/>
      <c r="U18" s="466"/>
      <c r="V18" s="466"/>
    </row>
    <row r="19" spans="1:22" x14ac:dyDescent="0.2">
      <c r="A19" s="466"/>
      <c r="B19" s="530">
        <f t="shared" si="1"/>
        <v>2</v>
      </c>
      <c r="C19" s="546">
        <f t="shared" si="2"/>
        <v>53510.321458333339</v>
      </c>
      <c r="D19" s="546">
        <f t="shared" ref="D19:D82" si="5">IF(B19="","-",$D$4/12*H18)</f>
        <v>53510.321458333339</v>
      </c>
      <c r="E19" s="546">
        <f>IF(B19="","-",SUM($D$18:D19))</f>
        <v>107020.64291666668</v>
      </c>
      <c r="F19" s="546">
        <f t="shared" si="3"/>
        <v>0</v>
      </c>
      <c r="G19" s="546">
        <f>IF(B19="","-",SUM($F$18:F19))</f>
        <v>0</v>
      </c>
      <c r="H19" s="546">
        <f t="shared" si="4"/>
        <v>13518397</v>
      </c>
      <c r="I19" s="465"/>
      <c r="J19" s="466"/>
      <c r="K19" s="466"/>
      <c r="M19" s="466"/>
      <c r="N19" s="466"/>
      <c r="O19" s="466"/>
      <c r="P19" s="466"/>
      <c r="Q19" s="466"/>
      <c r="R19" s="466"/>
      <c r="S19" s="466"/>
      <c r="T19" s="466"/>
      <c r="U19" s="466"/>
      <c r="V19" s="466"/>
    </row>
    <row r="20" spans="1:22" x14ac:dyDescent="0.2">
      <c r="A20" s="466"/>
      <c r="B20" s="530">
        <f t="shared" si="1"/>
        <v>3</v>
      </c>
      <c r="C20" s="546">
        <f t="shared" si="2"/>
        <v>53510.321458333339</v>
      </c>
      <c r="D20" s="546">
        <f t="shared" si="5"/>
        <v>53510.321458333339</v>
      </c>
      <c r="E20" s="546">
        <f>IF(B20="","-",SUM($D$18:D20))</f>
        <v>160530.96437500001</v>
      </c>
      <c r="F20" s="546">
        <f t="shared" si="3"/>
        <v>0</v>
      </c>
      <c r="G20" s="546">
        <f>IF(B20="","-",SUM($F$18:F20))</f>
        <v>0</v>
      </c>
      <c r="H20" s="546">
        <f t="shared" si="4"/>
        <v>13518397</v>
      </c>
      <c r="I20" s="465"/>
      <c r="J20" s="466"/>
      <c r="K20" s="466"/>
      <c r="M20" s="466"/>
      <c r="N20" s="466"/>
      <c r="O20" s="466"/>
      <c r="P20" s="466"/>
      <c r="Q20" s="466"/>
      <c r="R20" s="466"/>
      <c r="S20" s="466"/>
      <c r="T20" s="466"/>
      <c r="U20" s="466"/>
      <c r="V20" s="466"/>
    </row>
    <row r="21" spans="1:22" x14ac:dyDescent="0.2">
      <c r="A21" s="466"/>
      <c r="B21" s="530">
        <f t="shared" si="1"/>
        <v>4</v>
      </c>
      <c r="C21" s="546">
        <f t="shared" si="2"/>
        <v>53510.321458333339</v>
      </c>
      <c r="D21" s="546">
        <f t="shared" si="5"/>
        <v>53510.321458333339</v>
      </c>
      <c r="E21" s="546">
        <f>IF(B21="","-",SUM($D$18:D21))</f>
        <v>214041.28583333336</v>
      </c>
      <c r="F21" s="546">
        <f t="shared" si="3"/>
        <v>0</v>
      </c>
      <c r="G21" s="546">
        <f>IF(B21="","-",SUM($F$18:F21))</f>
        <v>0</v>
      </c>
      <c r="H21" s="546">
        <f t="shared" si="4"/>
        <v>13518397</v>
      </c>
      <c r="I21" s="465"/>
      <c r="J21" s="466"/>
      <c r="K21" s="466"/>
      <c r="M21" s="466"/>
      <c r="N21" s="466"/>
      <c r="O21" s="466"/>
      <c r="P21" s="466"/>
      <c r="Q21" s="466"/>
      <c r="R21" s="466"/>
      <c r="S21" s="466"/>
      <c r="T21" s="466"/>
      <c r="U21" s="466"/>
      <c r="V21" s="466"/>
    </row>
    <row r="22" spans="1:22" x14ac:dyDescent="0.2">
      <c r="A22" s="466"/>
      <c r="B22" s="530">
        <f t="shared" si="1"/>
        <v>5</v>
      </c>
      <c r="C22" s="546">
        <f t="shared" si="2"/>
        <v>53510.321458333339</v>
      </c>
      <c r="D22" s="546">
        <f t="shared" si="5"/>
        <v>53510.321458333339</v>
      </c>
      <c r="E22" s="546">
        <f>IF(B22="","-",SUM($D$18:D22))</f>
        <v>267551.60729166667</v>
      </c>
      <c r="F22" s="546">
        <f t="shared" si="3"/>
        <v>0</v>
      </c>
      <c r="G22" s="546">
        <f>IF(B22="","-",SUM($F$18:F22))</f>
        <v>0</v>
      </c>
      <c r="H22" s="546">
        <f t="shared" si="4"/>
        <v>13518397</v>
      </c>
      <c r="I22" s="465"/>
      <c r="J22" s="466"/>
      <c r="K22" s="466"/>
      <c r="M22" s="466"/>
      <c r="N22" s="466"/>
      <c r="O22" s="466"/>
      <c r="P22" s="466"/>
      <c r="Q22" s="466"/>
      <c r="R22" s="466"/>
      <c r="S22" s="466"/>
      <c r="T22" s="466"/>
      <c r="U22" s="466"/>
      <c r="V22" s="466"/>
    </row>
    <row r="23" spans="1:22" x14ac:dyDescent="0.2">
      <c r="A23" s="466"/>
      <c r="B23" s="530">
        <f t="shared" si="1"/>
        <v>6</v>
      </c>
      <c r="C23" s="546">
        <f t="shared" si="2"/>
        <v>53510.321458333339</v>
      </c>
      <c r="D23" s="546">
        <f t="shared" si="5"/>
        <v>53510.321458333339</v>
      </c>
      <c r="E23" s="546">
        <f>IF(B23="","-",SUM($D$18:D23))</f>
        <v>321061.92875000002</v>
      </c>
      <c r="F23" s="546">
        <f t="shared" si="3"/>
        <v>0</v>
      </c>
      <c r="G23" s="546">
        <f>IF(B23="","-",SUM($F$18:F23))</f>
        <v>0</v>
      </c>
      <c r="H23" s="546">
        <f t="shared" si="4"/>
        <v>13518397</v>
      </c>
      <c r="I23" s="465"/>
      <c r="J23" s="466"/>
      <c r="K23" s="466"/>
      <c r="M23" s="466"/>
      <c r="N23" s="466"/>
      <c r="O23" s="466"/>
      <c r="P23" s="466"/>
      <c r="Q23" s="466"/>
      <c r="R23" s="466"/>
      <c r="S23" s="466"/>
      <c r="T23" s="466"/>
      <c r="U23" s="466"/>
      <c r="V23" s="466"/>
    </row>
    <row r="24" spans="1:22" x14ac:dyDescent="0.2">
      <c r="A24" s="466"/>
      <c r="B24" s="530">
        <f t="shared" si="1"/>
        <v>7</v>
      </c>
      <c r="C24" s="546">
        <f t="shared" si="2"/>
        <v>53510.321458333339</v>
      </c>
      <c r="D24" s="546">
        <f t="shared" si="5"/>
        <v>53510.321458333339</v>
      </c>
      <c r="E24" s="546">
        <f>IF(B24="","-",SUM($D$18:D24))</f>
        <v>374572.25020833337</v>
      </c>
      <c r="F24" s="546">
        <f t="shared" si="3"/>
        <v>0</v>
      </c>
      <c r="G24" s="546">
        <f>IF(B24="","-",SUM($F$18:F24))</f>
        <v>0</v>
      </c>
      <c r="H24" s="546">
        <f t="shared" si="4"/>
        <v>13518397</v>
      </c>
      <c r="I24" s="465"/>
      <c r="J24" s="466"/>
      <c r="K24" s="466"/>
      <c r="M24" s="466"/>
      <c r="N24" s="466"/>
      <c r="O24" s="466"/>
      <c r="P24" s="466"/>
      <c r="Q24" s="466"/>
      <c r="R24" s="466"/>
      <c r="S24" s="466"/>
      <c r="T24" s="466"/>
      <c r="U24" s="466"/>
      <c r="V24" s="466"/>
    </row>
    <row r="25" spans="1:22" x14ac:dyDescent="0.2">
      <c r="A25" s="466"/>
      <c r="B25" s="530">
        <f t="shared" si="1"/>
        <v>8</v>
      </c>
      <c r="C25" s="546">
        <f t="shared" si="2"/>
        <v>53510.321458333339</v>
      </c>
      <c r="D25" s="546">
        <f t="shared" si="5"/>
        <v>53510.321458333339</v>
      </c>
      <c r="E25" s="546">
        <f>IF(B25="","-",SUM($D$18:D25))</f>
        <v>428082.57166666671</v>
      </c>
      <c r="F25" s="546">
        <f t="shared" si="3"/>
        <v>0</v>
      </c>
      <c r="G25" s="546">
        <f>IF(B25="","-",SUM($F$18:F25))</f>
        <v>0</v>
      </c>
      <c r="H25" s="546">
        <f t="shared" si="4"/>
        <v>13518397</v>
      </c>
      <c r="I25" s="465"/>
      <c r="J25" s="466"/>
      <c r="K25" s="466"/>
      <c r="M25" s="466"/>
      <c r="N25" s="466"/>
      <c r="O25" s="466"/>
      <c r="P25" s="466"/>
      <c r="Q25" s="466"/>
      <c r="R25" s="466"/>
      <c r="S25" s="466"/>
      <c r="T25" s="466"/>
      <c r="U25" s="466"/>
      <c r="V25" s="466"/>
    </row>
    <row r="26" spans="1:22" x14ac:dyDescent="0.2">
      <c r="A26" s="466"/>
      <c r="B26" s="530">
        <f t="shared" si="1"/>
        <v>9</v>
      </c>
      <c r="C26" s="546">
        <f t="shared" si="2"/>
        <v>53510.321458333339</v>
      </c>
      <c r="D26" s="546">
        <f t="shared" si="5"/>
        <v>53510.321458333339</v>
      </c>
      <c r="E26" s="546">
        <f>IF(B26="","-",SUM($D$18:D26))</f>
        <v>481592.89312500006</v>
      </c>
      <c r="F26" s="546">
        <f t="shared" si="3"/>
        <v>0</v>
      </c>
      <c r="G26" s="546">
        <f>IF(B26="","-",SUM($F$18:F26))</f>
        <v>0</v>
      </c>
      <c r="H26" s="546">
        <f t="shared" si="4"/>
        <v>13518397</v>
      </c>
      <c r="I26" s="465"/>
      <c r="J26" s="466"/>
      <c r="K26" s="466"/>
      <c r="M26" s="466"/>
      <c r="N26" s="466"/>
      <c r="O26" s="466"/>
      <c r="P26" s="466"/>
      <c r="Q26" s="466"/>
      <c r="R26" s="466"/>
      <c r="S26" s="466"/>
      <c r="T26" s="466"/>
      <c r="U26" s="466"/>
      <c r="V26" s="466"/>
    </row>
    <row r="27" spans="1:22" x14ac:dyDescent="0.2">
      <c r="A27" s="466"/>
      <c r="B27" s="530">
        <f t="shared" si="1"/>
        <v>10</v>
      </c>
      <c r="C27" s="546">
        <f t="shared" si="2"/>
        <v>53510.321458333339</v>
      </c>
      <c r="D27" s="546">
        <f t="shared" si="5"/>
        <v>53510.321458333339</v>
      </c>
      <c r="E27" s="546">
        <f>IF(B27="","-",SUM($D$18:D27))</f>
        <v>535103.21458333335</v>
      </c>
      <c r="F27" s="546">
        <f t="shared" si="3"/>
        <v>0</v>
      </c>
      <c r="G27" s="546">
        <f>IF(B27="","-",SUM($F$18:F27))</f>
        <v>0</v>
      </c>
      <c r="H27" s="546">
        <f t="shared" si="4"/>
        <v>13518397</v>
      </c>
      <c r="I27" s="465"/>
      <c r="J27" s="466"/>
      <c r="K27" s="466"/>
      <c r="M27" s="466"/>
      <c r="N27" s="466"/>
      <c r="O27" s="466"/>
      <c r="P27" s="466"/>
      <c r="Q27" s="466"/>
      <c r="R27" s="466"/>
      <c r="S27" s="466"/>
      <c r="T27" s="466"/>
      <c r="U27" s="466"/>
      <c r="V27" s="466"/>
    </row>
    <row r="28" spans="1:22" x14ac:dyDescent="0.2">
      <c r="A28" s="466"/>
      <c r="B28" s="530">
        <f t="shared" si="1"/>
        <v>11</v>
      </c>
      <c r="C28" s="546">
        <f t="shared" si="2"/>
        <v>53510.321458333339</v>
      </c>
      <c r="D28" s="546">
        <f t="shared" si="5"/>
        <v>53510.321458333339</v>
      </c>
      <c r="E28" s="546">
        <f>IF(B28="","-",SUM($D$18:D28))</f>
        <v>588613.53604166664</v>
      </c>
      <c r="F28" s="546">
        <f t="shared" si="3"/>
        <v>0</v>
      </c>
      <c r="G28" s="546">
        <f>IF(B28="","-",SUM($F$18:F28))</f>
        <v>0</v>
      </c>
      <c r="H28" s="546">
        <f t="shared" si="4"/>
        <v>13518397</v>
      </c>
      <c r="I28" s="465"/>
      <c r="J28" s="466"/>
      <c r="K28" s="466"/>
      <c r="M28" s="466"/>
      <c r="N28" s="466"/>
      <c r="O28" s="466"/>
      <c r="P28" s="466"/>
      <c r="Q28" s="466"/>
      <c r="R28" s="466"/>
      <c r="S28" s="466"/>
      <c r="T28" s="466"/>
      <c r="U28" s="466"/>
      <c r="V28" s="466"/>
    </row>
    <row r="29" spans="1:22" x14ac:dyDescent="0.2">
      <c r="A29" s="466"/>
      <c r="B29" s="548">
        <f t="shared" si="1"/>
        <v>12</v>
      </c>
      <c r="C29" s="549">
        <f t="shared" si="2"/>
        <v>53510.321458333339</v>
      </c>
      <c r="D29" s="549">
        <f t="shared" si="5"/>
        <v>53510.321458333339</v>
      </c>
      <c r="E29" s="549">
        <f>IF(B29="","-",SUM($D$18:D29))</f>
        <v>642123.85749999993</v>
      </c>
      <c r="F29" s="549">
        <f t="shared" si="3"/>
        <v>0</v>
      </c>
      <c r="G29" s="549">
        <f>IF(B29="","-",SUM($F$18:F29))</f>
        <v>0</v>
      </c>
      <c r="H29" s="549">
        <f t="shared" si="4"/>
        <v>13518397</v>
      </c>
      <c r="I29" s="489"/>
      <c r="J29" s="466"/>
      <c r="K29" s="466"/>
      <c r="M29" s="466"/>
      <c r="N29" s="466"/>
      <c r="O29" s="466"/>
      <c r="P29" s="466"/>
      <c r="Q29" s="466"/>
      <c r="R29" s="466"/>
      <c r="S29" s="466"/>
      <c r="T29" s="466"/>
      <c r="U29" s="466"/>
      <c r="V29" s="466"/>
    </row>
    <row r="30" spans="1:22" x14ac:dyDescent="0.2">
      <c r="A30" s="466"/>
      <c r="B30" s="530">
        <f t="shared" ref="B30:B82" si="6">IF(B29&gt;=$D$5*12,"",B29+1)</f>
        <v>13</v>
      </c>
      <c r="C30" s="546">
        <f t="shared" si="2"/>
        <v>53510.321458333339</v>
      </c>
      <c r="D30" s="546">
        <f t="shared" si="5"/>
        <v>53510.321458333339</v>
      </c>
      <c r="E30" s="546">
        <f>IF(B30="","-",SUM($D$18:D30))</f>
        <v>695634.17895833321</v>
      </c>
      <c r="F30" s="546">
        <f t="shared" si="3"/>
        <v>0</v>
      </c>
      <c r="G30" s="546">
        <f>IF(B30="","-",SUM($F$18:F30))</f>
        <v>0</v>
      </c>
      <c r="H30" s="546">
        <f t="shared" si="4"/>
        <v>13518397</v>
      </c>
      <c r="I30" s="465"/>
      <c r="J30" s="466"/>
      <c r="K30" s="466"/>
      <c r="M30" s="466"/>
      <c r="N30" s="466"/>
      <c r="O30" s="466"/>
      <c r="P30" s="466"/>
      <c r="Q30" s="466"/>
      <c r="R30" s="466"/>
      <c r="S30" s="466"/>
      <c r="T30" s="466"/>
      <c r="U30" s="466"/>
      <c r="V30" s="466"/>
    </row>
    <row r="31" spans="1:22" x14ac:dyDescent="0.2">
      <c r="A31" s="466"/>
      <c r="B31" s="530">
        <f t="shared" si="6"/>
        <v>14</v>
      </c>
      <c r="C31" s="546">
        <f t="shared" si="2"/>
        <v>53510.321458333339</v>
      </c>
      <c r="D31" s="546">
        <f t="shared" si="5"/>
        <v>53510.321458333339</v>
      </c>
      <c r="E31" s="546">
        <f>IF(B31="","-",SUM($D$18:D31))</f>
        <v>749144.5004166665</v>
      </c>
      <c r="F31" s="546">
        <f t="shared" si="3"/>
        <v>0</v>
      </c>
      <c r="G31" s="546">
        <f>IF(B31="","-",SUM($F$18:F31))</f>
        <v>0</v>
      </c>
      <c r="H31" s="546">
        <f t="shared" si="4"/>
        <v>13518397</v>
      </c>
      <c r="I31" s="465"/>
      <c r="J31" s="466"/>
      <c r="K31" s="466"/>
      <c r="M31" s="466"/>
      <c r="N31" s="466"/>
      <c r="O31" s="466"/>
      <c r="P31" s="466"/>
      <c r="Q31" s="466"/>
      <c r="R31" s="466"/>
      <c r="S31" s="466"/>
      <c r="T31" s="466"/>
      <c r="U31" s="466"/>
      <c r="V31" s="466"/>
    </row>
    <row r="32" spans="1:22" x14ac:dyDescent="0.2">
      <c r="A32" s="466"/>
      <c r="B32" s="530">
        <f t="shared" si="6"/>
        <v>15</v>
      </c>
      <c r="C32" s="546">
        <f t="shared" si="2"/>
        <v>53510.321458333339</v>
      </c>
      <c r="D32" s="546">
        <f t="shared" si="5"/>
        <v>53510.321458333339</v>
      </c>
      <c r="E32" s="546">
        <f>IF(B32="","-",SUM($D$18:D32))</f>
        <v>802654.82187499979</v>
      </c>
      <c r="F32" s="546">
        <f t="shared" si="3"/>
        <v>0</v>
      </c>
      <c r="G32" s="546">
        <f>IF(B32="","-",SUM($F$18:F32))</f>
        <v>0</v>
      </c>
      <c r="H32" s="546">
        <f t="shared" si="4"/>
        <v>13518397</v>
      </c>
      <c r="I32" s="465"/>
      <c r="J32" s="466"/>
      <c r="K32" s="466"/>
      <c r="M32" s="466"/>
      <c r="N32" s="466"/>
      <c r="O32" s="466"/>
      <c r="P32" s="466"/>
      <c r="Q32" s="466"/>
      <c r="R32" s="466"/>
      <c r="S32" s="466"/>
      <c r="T32" s="466"/>
      <c r="U32" s="466"/>
      <c r="V32" s="466"/>
    </row>
    <row r="33" spans="1:22" x14ac:dyDescent="0.2">
      <c r="A33" s="466"/>
      <c r="B33" s="530">
        <f t="shared" si="6"/>
        <v>16</v>
      </c>
      <c r="C33" s="546">
        <f t="shared" si="2"/>
        <v>53510.321458333339</v>
      </c>
      <c r="D33" s="546">
        <f t="shared" si="5"/>
        <v>53510.321458333339</v>
      </c>
      <c r="E33" s="546">
        <f>IF(B33="","-",SUM($D$18:D33))</f>
        <v>856165.14333333308</v>
      </c>
      <c r="F33" s="546">
        <f t="shared" si="3"/>
        <v>0</v>
      </c>
      <c r="G33" s="546">
        <f>IF(B33="","-",SUM($F$18:F33))</f>
        <v>0</v>
      </c>
      <c r="H33" s="546">
        <f t="shared" si="4"/>
        <v>13518397</v>
      </c>
      <c r="I33" s="465"/>
      <c r="J33" s="466"/>
      <c r="K33" s="466"/>
      <c r="M33" s="466"/>
      <c r="N33" s="466"/>
      <c r="O33" s="466"/>
      <c r="P33" s="466"/>
      <c r="Q33" s="466"/>
      <c r="R33" s="466"/>
      <c r="S33" s="466"/>
      <c r="T33" s="466"/>
      <c r="U33" s="466"/>
      <c r="V33" s="466"/>
    </row>
    <row r="34" spans="1:22" x14ac:dyDescent="0.2">
      <c r="A34" s="466"/>
      <c r="B34" s="530">
        <f t="shared" si="6"/>
        <v>17</v>
      </c>
      <c r="C34" s="546">
        <f t="shared" si="2"/>
        <v>53510.321458333339</v>
      </c>
      <c r="D34" s="546">
        <f t="shared" si="5"/>
        <v>53510.321458333339</v>
      </c>
      <c r="E34" s="546">
        <f>IF(B34="","-",SUM($D$18:D34))</f>
        <v>909675.46479166637</v>
      </c>
      <c r="F34" s="546">
        <f t="shared" si="3"/>
        <v>0</v>
      </c>
      <c r="G34" s="546">
        <f>IF(B34="","-",SUM($F$18:F34))</f>
        <v>0</v>
      </c>
      <c r="H34" s="546">
        <f t="shared" si="4"/>
        <v>13518397</v>
      </c>
      <c r="I34" s="465"/>
      <c r="J34" s="466"/>
      <c r="K34" s="466"/>
      <c r="M34" s="466"/>
      <c r="N34" s="466"/>
      <c r="O34" s="466"/>
      <c r="P34" s="466"/>
      <c r="Q34" s="466"/>
      <c r="R34" s="466"/>
      <c r="S34" s="466"/>
      <c r="T34" s="466"/>
      <c r="U34" s="466"/>
      <c r="V34" s="466"/>
    </row>
    <row r="35" spans="1:22" x14ac:dyDescent="0.2">
      <c r="A35" s="466"/>
      <c r="B35" s="530">
        <f t="shared" si="6"/>
        <v>18</v>
      </c>
      <c r="C35" s="546">
        <f t="shared" si="2"/>
        <v>53510.321458333339</v>
      </c>
      <c r="D35" s="546">
        <f t="shared" si="5"/>
        <v>53510.321458333339</v>
      </c>
      <c r="E35" s="546">
        <f>IF(B35="","-",SUM($D$18:D35))</f>
        <v>963185.78624999966</v>
      </c>
      <c r="F35" s="546">
        <f t="shared" si="3"/>
        <v>0</v>
      </c>
      <c r="G35" s="546">
        <f>IF(B35="","-",SUM($F$18:F35))</f>
        <v>0</v>
      </c>
      <c r="H35" s="546">
        <f t="shared" si="4"/>
        <v>13518397</v>
      </c>
      <c r="I35" s="465"/>
      <c r="J35" s="466"/>
      <c r="K35" s="466"/>
      <c r="M35" s="466"/>
      <c r="N35" s="466"/>
      <c r="O35" s="466"/>
      <c r="P35" s="466"/>
      <c r="Q35" s="466"/>
      <c r="R35" s="466"/>
      <c r="S35" s="466"/>
      <c r="T35" s="466"/>
      <c r="U35" s="466"/>
      <c r="V35" s="466"/>
    </row>
    <row r="36" spans="1:22" x14ac:dyDescent="0.2">
      <c r="A36" s="466"/>
      <c r="B36" s="530">
        <f t="shared" si="6"/>
        <v>19</v>
      </c>
      <c r="C36" s="546">
        <f t="shared" si="2"/>
        <v>53510.321458333339</v>
      </c>
      <c r="D36" s="546">
        <f t="shared" si="5"/>
        <v>53510.321458333339</v>
      </c>
      <c r="E36" s="546">
        <f>IF(B36="","-",SUM($D$18:D36))</f>
        <v>1016696.1077083329</v>
      </c>
      <c r="F36" s="546">
        <f t="shared" si="3"/>
        <v>0</v>
      </c>
      <c r="G36" s="546">
        <f>IF(B36="","-",SUM($F$18:F36))</f>
        <v>0</v>
      </c>
      <c r="H36" s="546">
        <f t="shared" si="4"/>
        <v>13518397</v>
      </c>
      <c r="I36" s="465"/>
      <c r="J36" s="466"/>
      <c r="K36" s="466"/>
      <c r="M36" s="466"/>
      <c r="N36" s="466"/>
      <c r="O36" s="466"/>
      <c r="P36" s="466"/>
      <c r="Q36" s="466"/>
      <c r="R36" s="466"/>
      <c r="S36" s="466"/>
      <c r="T36" s="466"/>
      <c r="U36" s="466"/>
      <c r="V36" s="466"/>
    </row>
    <row r="37" spans="1:22" x14ac:dyDescent="0.2">
      <c r="A37" s="466"/>
      <c r="B37" s="530">
        <f t="shared" si="6"/>
        <v>20</v>
      </c>
      <c r="C37" s="546">
        <f t="shared" si="2"/>
        <v>53510.321458333339</v>
      </c>
      <c r="D37" s="546">
        <f t="shared" si="5"/>
        <v>53510.321458333339</v>
      </c>
      <c r="E37" s="546">
        <f>IF(B37="","-",SUM($D$18:D37))</f>
        <v>1070206.4291666662</v>
      </c>
      <c r="F37" s="546">
        <f t="shared" si="3"/>
        <v>0</v>
      </c>
      <c r="G37" s="546">
        <f>IF(B37="","-",SUM($F$18:F37))</f>
        <v>0</v>
      </c>
      <c r="H37" s="546">
        <f t="shared" si="4"/>
        <v>13518397</v>
      </c>
      <c r="I37" s="465"/>
      <c r="J37" s="466"/>
      <c r="K37" s="466"/>
      <c r="M37" s="466"/>
      <c r="N37" s="466"/>
      <c r="O37" s="466"/>
      <c r="P37" s="466"/>
      <c r="Q37" s="466"/>
      <c r="R37" s="466"/>
      <c r="S37" s="466"/>
      <c r="T37" s="466"/>
      <c r="U37" s="466"/>
      <c r="V37" s="466"/>
    </row>
    <row r="38" spans="1:22" x14ac:dyDescent="0.2">
      <c r="A38" s="466"/>
      <c r="B38" s="530">
        <f t="shared" si="6"/>
        <v>21</v>
      </c>
      <c r="C38" s="546">
        <f t="shared" si="2"/>
        <v>53510.321458333339</v>
      </c>
      <c r="D38" s="546">
        <f t="shared" si="5"/>
        <v>53510.321458333339</v>
      </c>
      <c r="E38" s="546">
        <f>IF(B38="","-",SUM($D$18:D38))</f>
        <v>1123716.7506249996</v>
      </c>
      <c r="F38" s="546">
        <f t="shared" si="3"/>
        <v>0</v>
      </c>
      <c r="G38" s="546">
        <f>IF(B38="","-",SUM($F$18:F38))</f>
        <v>0</v>
      </c>
      <c r="H38" s="546">
        <f t="shared" si="4"/>
        <v>13518397</v>
      </c>
      <c r="I38" s="465"/>
      <c r="J38" s="466"/>
      <c r="K38" s="466"/>
      <c r="M38" s="466"/>
      <c r="N38" s="466"/>
      <c r="O38" s="466"/>
      <c r="P38" s="466"/>
      <c r="Q38" s="466"/>
      <c r="R38" s="466"/>
      <c r="S38" s="466"/>
      <c r="T38" s="466"/>
      <c r="U38" s="466"/>
      <c r="V38" s="466"/>
    </row>
    <row r="39" spans="1:22" x14ac:dyDescent="0.2">
      <c r="A39" s="466"/>
      <c r="B39" s="530">
        <f t="shared" si="6"/>
        <v>22</v>
      </c>
      <c r="C39" s="546">
        <f t="shared" si="2"/>
        <v>53510.321458333339</v>
      </c>
      <c r="D39" s="546">
        <f t="shared" si="5"/>
        <v>53510.321458333339</v>
      </c>
      <c r="E39" s="546">
        <f>IF(B39="","-",SUM($D$18:D39))</f>
        <v>1177227.072083333</v>
      </c>
      <c r="F39" s="546">
        <f t="shared" si="3"/>
        <v>0</v>
      </c>
      <c r="G39" s="546">
        <f>IF(B39="","-",SUM($F$18:F39))</f>
        <v>0</v>
      </c>
      <c r="H39" s="546">
        <f t="shared" si="4"/>
        <v>13518397</v>
      </c>
      <c r="I39" s="465"/>
      <c r="J39" s="466"/>
      <c r="K39" s="466"/>
      <c r="M39" s="466"/>
      <c r="N39" s="466"/>
      <c r="O39" s="466"/>
      <c r="P39" s="466"/>
      <c r="Q39" s="466"/>
      <c r="R39" s="466"/>
      <c r="S39" s="466"/>
      <c r="T39" s="466"/>
      <c r="U39" s="466"/>
      <c r="V39" s="466"/>
    </row>
    <row r="40" spans="1:22" x14ac:dyDescent="0.2">
      <c r="A40" s="466"/>
      <c r="B40" s="530">
        <f t="shared" si="6"/>
        <v>23</v>
      </c>
      <c r="C40" s="546">
        <f t="shared" si="2"/>
        <v>53510.321458333339</v>
      </c>
      <c r="D40" s="546">
        <f t="shared" si="5"/>
        <v>53510.321458333339</v>
      </c>
      <c r="E40" s="546">
        <f>IF(B40="","-",SUM($D$18:D40))</f>
        <v>1230737.3935416664</v>
      </c>
      <c r="F40" s="546">
        <f t="shared" si="3"/>
        <v>0</v>
      </c>
      <c r="G40" s="546">
        <f>IF(B40="","-",SUM($F$18:F40))</f>
        <v>0</v>
      </c>
      <c r="H40" s="546">
        <f t="shared" si="4"/>
        <v>13518397</v>
      </c>
      <c r="I40" s="465"/>
      <c r="J40" s="466"/>
      <c r="K40" s="466"/>
      <c r="M40" s="466"/>
      <c r="N40" s="466"/>
      <c r="O40" s="466"/>
      <c r="P40" s="466"/>
      <c r="Q40" s="466"/>
      <c r="R40" s="466"/>
      <c r="S40" s="466"/>
      <c r="T40" s="466"/>
      <c r="U40" s="466"/>
      <c r="V40" s="466"/>
    </row>
    <row r="41" spans="1:22" x14ac:dyDescent="0.2">
      <c r="A41" s="466"/>
      <c r="B41" s="548">
        <f t="shared" si="6"/>
        <v>24</v>
      </c>
      <c r="C41" s="549">
        <f t="shared" si="2"/>
        <v>53510.321458333339</v>
      </c>
      <c r="D41" s="549">
        <f t="shared" si="5"/>
        <v>53510.321458333339</v>
      </c>
      <c r="E41" s="549">
        <f>IF(B41="","-",SUM($D$18:D41))</f>
        <v>1284247.7149999999</v>
      </c>
      <c r="F41" s="549">
        <f t="shared" si="3"/>
        <v>0</v>
      </c>
      <c r="G41" s="549">
        <f>IF(B41="","-",SUM($F$18:F41))</f>
        <v>0</v>
      </c>
      <c r="H41" s="549">
        <f t="shared" si="4"/>
        <v>13518397</v>
      </c>
      <c r="I41" s="489"/>
      <c r="J41" s="466"/>
      <c r="K41" s="522"/>
      <c r="M41" s="466"/>
      <c r="N41" s="466"/>
      <c r="O41" s="466"/>
      <c r="P41" s="466"/>
      <c r="Q41" s="466"/>
      <c r="R41" s="466"/>
      <c r="S41" s="466"/>
      <c r="T41" s="466"/>
      <c r="U41" s="466"/>
      <c r="V41" s="466"/>
    </row>
    <row r="42" spans="1:22" x14ac:dyDescent="0.2">
      <c r="A42" s="466"/>
      <c r="B42" s="530">
        <f t="shared" si="6"/>
        <v>25</v>
      </c>
      <c r="C42" s="546">
        <f t="shared" si="2"/>
        <v>53510.321458333339</v>
      </c>
      <c r="D42" s="546">
        <f t="shared" si="5"/>
        <v>53510.321458333339</v>
      </c>
      <c r="E42" s="546">
        <f>IF(B42="","-",SUM($D$18:D42))</f>
        <v>1337758.0364583333</v>
      </c>
      <c r="F42" s="546">
        <f t="shared" si="3"/>
        <v>0</v>
      </c>
      <c r="G42" s="546">
        <f>IF(B42="","-",SUM($F$18:F42))</f>
        <v>0</v>
      </c>
      <c r="H42" s="546">
        <f t="shared" si="4"/>
        <v>13518397</v>
      </c>
      <c r="I42" s="465"/>
      <c r="J42" s="466"/>
      <c r="K42" s="466"/>
      <c r="M42" s="466"/>
      <c r="N42" s="466"/>
      <c r="O42" s="466"/>
      <c r="P42" s="466"/>
      <c r="Q42" s="466"/>
      <c r="R42" s="466"/>
      <c r="S42" s="466"/>
      <c r="T42" s="466"/>
      <c r="U42" s="466"/>
      <c r="V42" s="466"/>
    </row>
    <row r="43" spans="1:22" x14ac:dyDescent="0.2">
      <c r="A43" s="466"/>
      <c r="B43" s="530">
        <f t="shared" si="6"/>
        <v>26</v>
      </c>
      <c r="C43" s="546">
        <f t="shared" si="2"/>
        <v>53510.321458333339</v>
      </c>
      <c r="D43" s="546">
        <f t="shared" si="5"/>
        <v>53510.321458333339</v>
      </c>
      <c r="E43" s="546">
        <f>IF(B43="","-",SUM($D$18:D43))</f>
        <v>1391268.3579166667</v>
      </c>
      <c r="F43" s="546">
        <f t="shared" si="3"/>
        <v>0</v>
      </c>
      <c r="G43" s="546">
        <f>IF(B43="","-",SUM($F$18:F43))</f>
        <v>0</v>
      </c>
      <c r="H43" s="546">
        <f t="shared" si="4"/>
        <v>13518397</v>
      </c>
      <c r="I43" s="465"/>
      <c r="J43" s="466"/>
      <c r="K43" s="466"/>
      <c r="M43" s="466"/>
      <c r="N43" s="466"/>
      <c r="O43" s="466"/>
      <c r="P43" s="466"/>
      <c r="Q43" s="466"/>
      <c r="R43" s="466"/>
      <c r="S43" s="466"/>
      <c r="T43" s="466"/>
      <c r="U43" s="466"/>
      <c r="V43" s="466"/>
    </row>
    <row r="44" spans="1:22" x14ac:dyDescent="0.2">
      <c r="A44" s="466"/>
      <c r="B44" s="530">
        <f t="shared" si="6"/>
        <v>27</v>
      </c>
      <c r="C44" s="546">
        <f t="shared" si="2"/>
        <v>53510.321458333339</v>
      </c>
      <c r="D44" s="546">
        <f t="shared" si="5"/>
        <v>53510.321458333339</v>
      </c>
      <c r="E44" s="546">
        <f>IF(B44="","-",SUM($D$18:D44))</f>
        <v>1444778.6793750001</v>
      </c>
      <c r="F44" s="546">
        <f t="shared" si="3"/>
        <v>0</v>
      </c>
      <c r="G44" s="546">
        <f>IF(B44="","-",SUM($F$18:F44))</f>
        <v>0</v>
      </c>
      <c r="H44" s="546">
        <f t="shared" si="4"/>
        <v>13518397</v>
      </c>
      <c r="I44" s="465"/>
      <c r="J44" s="466"/>
      <c r="K44" s="466"/>
      <c r="M44" s="466"/>
      <c r="N44" s="466"/>
      <c r="O44" s="466"/>
      <c r="P44" s="466"/>
      <c r="Q44" s="466"/>
      <c r="R44" s="466"/>
      <c r="S44" s="466"/>
      <c r="T44" s="466"/>
      <c r="U44" s="466"/>
      <c r="V44" s="466"/>
    </row>
    <row r="45" spans="1:22" x14ac:dyDescent="0.2">
      <c r="A45" s="466"/>
      <c r="B45" s="530">
        <f t="shared" si="6"/>
        <v>28</v>
      </c>
      <c r="C45" s="546">
        <f t="shared" si="2"/>
        <v>53510.321458333339</v>
      </c>
      <c r="D45" s="546">
        <f t="shared" si="5"/>
        <v>53510.321458333339</v>
      </c>
      <c r="E45" s="546">
        <f>IF(B45="","-",SUM($D$18:D45))</f>
        <v>1498289.0008333335</v>
      </c>
      <c r="F45" s="546">
        <f t="shared" si="3"/>
        <v>0</v>
      </c>
      <c r="G45" s="546">
        <f>IF(B45="","-",SUM($F$18:F45))</f>
        <v>0</v>
      </c>
      <c r="H45" s="546">
        <f t="shared" si="4"/>
        <v>13518397</v>
      </c>
      <c r="I45" s="465"/>
      <c r="J45" s="466"/>
      <c r="K45" s="466"/>
      <c r="M45" s="466"/>
      <c r="N45" s="466"/>
      <c r="O45" s="466"/>
      <c r="P45" s="466"/>
      <c r="Q45" s="466"/>
      <c r="R45" s="466"/>
      <c r="S45" s="466"/>
      <c r="T45" s="466"/>
      <c r="U45" s="466"/>
      <c r="V45" s="466"/>
    </row>
    <row r="46" spans="1:22" x14ac:dyDescent="0.2">
      <c r="A46" s="466"/>
      <c r="B46" s="530">
        <f t="shared" si="6"/>
        <v>29</v>
      </c>
      <c r="C46" s="546">
        <f t="shared" si="2"/>
        <v>53510.321458333339</v>
      </c>
      <c r="D46" s="546">
        <f t="shared" si="5"/>
        <v>53510.321458333339</v>
      </c>
      <c r="E46" s="546">
        <f>IF(B46="","-",SUM($D$18:D46))</f>
        <v>1551799.3222916669</v>
      </c>
      <c r="F46" s="546">
        <f t="shared" si="3"/>
        <v>0</v>
      </c>
      <c r="G46" s="546">
        <f>IF(B46="","-",SUM($F$18:F46))</f>
        <v>0</v>
      </c>
      <c r="H46" s="546">
        <f t="shared" si="4"/>
        <v>13518397</v>
      </c>
      <c r="I46" s="465"/>
      <c r="J46" s="466"/>
      <c r="K46" s="466"/>
      <c r="M46" s="466"/>
      <c r="N46" s="466"/>
      <c r="O46" s="466"/>
      <c r="P46" s="466"/>
      <c r="Q46" s="466"/>
      <c r="R46" s="466"/>
      <c r="S46" s="466"/>
      <c r="T46" s="466"/>
      <c r="U46" s="466"/>
      <c r="V46" s="466"/>
    </row>
    <row r="47" spans="1:22" x14ac:dyDescent="0.2">
      <c r="A47" s="466"/>
      <c r="B47" s="530">
        <f t="shared" si="6"/>
        <v>30</v>
      </c>
      <c r="C47" s="546">
        <f t="shared" si="2"/>
        <v>53510.321458333339</v>
      </c>
      <c r="D47" s="546">
        <f t="shared" si="5"/>
        <v>53510.321458333339</v>
      </c>
      <c r="E47" s="546">
        <f>IF(B47="","-",SUM($D$18:D47))</f>
        <v>1605309.6437500003</v>
      </c>
      <c r="F47" s="546">
        <f t="shared" si="3"/>
        <v>0</v>
      </c>
      <c r="G47" s="546">
        <f>IF(B47="","-",SUM($F$18:F47))</f>
        <v>0</v>
      </c>
      <c r="H47" s="546">
        <f t="shared" si="4"/>
        <v>13518397</v>
      </c>
      <c r="I47" s="465"/>
      <c r="J47" s="466"/>
      <c r="K47" s="466"/>
      <c r="M47" s="466"/>
      <c r="N47" s="466"/>
      <c r="O47" s="466"/>
      <c r="P47" s="466"/>
      <c r="Q47" s="466"/>
      <c r="R47" s="466"/>
      <c r="S47" s="466"/>
      <c r="T47" s="466"/>
      <c r="U47" s="466"/>
      <c r="V47" s="466"/>
    </row>
    <row r="48" spans="1:22" x14ac:dyDescent="0.2">
      <c r="A48" s="466"/>
      <c r="B48" s="530">
        <f t="shared" si="6"/>
        <v>31</v>
      </c>
      <c r="C48" s="546">
        <f t="shared" si="2"/>
        <v>53510.321458333339</v>
      </c>
      <c r="D48" s="546">
        <f t="shared" si="5"/>
        <v>53510.321458333339</v>
      </c>
      <c r="E48" s="546">
        <f>IF(B48="","-",SUM($D$18:D48))</f>
        <v>1658819.9652083337</v>
      </c>
      <c r="F48" s="546">
        <f t="shared" si="3"/>
        <v>0</v>
      </c>
      <c r="G48" s="546">
        <f>IF(B48="","-",SUM($F$18:F48))</f>
        <v>0</v>
      </c>
      <c r="H48" s="546">
        <f t="shared" si="4"/>
        <v>13518397</v>
      </c>
      <c r="I48" s="465"/>
      <c r="J48" s="466"/>
      <c r="K48" s="466"/>
      <c r="M48" s="466"/>
      <c r="N48" s="466"/>
      <c r="O48" s="466"/>
      <c r="P48" s="466"/>
      <c r="Q48" s="466"/>
      <c r="R48" s="466"/>
      <c r="S48" s="466"/>
      <c r="T48" s="466"/>
      <c r="U48" s="466"/>
      <c r="V48" s="466"/>
    </row>
    <row r="49" spans="1:22" x14ac:dyDescent="0.2">
      <c r="A49" s="466"/>
      <c r="B49" s="530">
        <f t="shared" si="6"/>
        <v>32</v>
      </c>
      <c r="C49" s="546">
        <f t="shared" si="2"/>
        <v>53510.321458333339</v>
      </c>
      <c r="D49" s="546">
        <f t="shared" si="5"/>
        <v>53510.321458333339</v>
      </c>
      <c r="E49" s="546">
        <f>IF(B49="","-",SUM($D$18:D49))</f>
        <v>1712330.2866666671</v>
      </c>
      <c r="F49" s="546">
        <f t="shared" si="3"/>
        <v>0</v>
      </c>
      <c r="G49" s="546">
        <f>IF(B49="","-",SUM($F$18:F49))</f>
        <v>0</v>
      </c>
      <c r="H49" s="546">
        <f t="shared" si="4"/>
        <v>13518397</v>
      </c>
      <c r="I49" s="465"/>
      <c r="J49" s="466"/>
      <c r="K49" s="466"/>
      <c r="M49" s="466"/>
      <c r="N49" s="466"/>
      <c r="O49" s="466"/>
      <c r="P49" s="466"/>
      <c r="Q49" s="466"/>
      <c r="R49" s="466"/>
      <c r="S49" s="466"/>
      <c r="T49" s="466"/>
      <c r="U49" s="466"/>
      <c r="V49" s="466"/>
    </row>
    <row r="50" spans="1:22" x14ac:dyDescent="0.2">
      <c r="A50" s="466"/>
      <c r="B50" s="530">
        <f t="shared" si="6"/>
        <v>33</v>
      </c>
      <c r="C50" s="546">
        <f t="shared" si="2"/>
        <v>53510.321458333339</v>
      </c>
      <c r="D50" s="546">
        <f t="shared" si="5"/>
        <v>53510.321458333339</v>
      </c>
      <c r="E50" s="546">
        <f>IF(B50="","-",SUM($D$18:D50))</f>
        <v>1765840.6081250005</v>
      </c>
      <c r="F50" s="546">
        <f t="shared" si="3"/>
        <v>0</v>
      </c>
      <c r="G50" s="546">
        <f>IF(B50="","-",SUM($F$18:F50))</f>
        <v>0</v>
      </c>
      <c r="H50" s="546">
        <f t="shared" si="4"/>
        <v>13518397</v>
      </c>
      <c r="I50" s="465"/>
      <c r="J50" s="466"/>
      <c r="K50" s="466"/>
      <c r="M50" s="466"/>
      <c r="N50" s="466"/>
      <c r="O50" s="466"/>
      <c r="P50" s="466"/>
      <c r="Q50" s="466"/>
      <c r="R50" s="466"/>
      <c r="S50" s="466"/>
      <c r="T50" s="466"/>
      <c r="U50" s="466"/>
      <c r="V50" s="466"/>
    </row>
    <row r="51" spans="1:22" x14ac:dyDescent="0.2">
      <c r="A51" s="466"/>
      <c r="B51" s="530">
        <f t="shared" si="6"/>
        <v>34</v>
      </c>
      <c r="C51" s="546">
        <f t="shared" si="2"/>
        <v>53510.321458333339</v>
      </c>
      <c r="D51" s="546">
        <f t="shared" si="5"/>
        <v>53510.321458333339</v>
      </c>
      <c r="E51" s="546">
        <f>IF(B51="","-",SUM($D$18:D51))</f>
        <v>1819350.9295833339</v>
      </c>
      <c r="F51" s="546">
        <f t="shared" si="3"/>
        <v>0</v>
      </c>
      <c r="G51" s="546">
        <f>IF(B51="","-",SUM($F$18:F51))</f>
        <v>0</v>
      </c>
      <c r="H51" s="546">
        <f t="shared" si="4"/>
        <v>13518397</v>
      </c>
      <c r="I51" s="465"/>
      <c r="J51" s="466"/>
      <c r="K51" s="466"/>
      <c r="M51" s="466"/>
      <c r="N51" s="466"/>
      <c r="O51" s="466"/>
      <c r="P51" s="466"/>
      <c r="Q51" s="466"/>
      <c r="R51" s="466"/>
      <c r="S51" s="466"/>
      <c r="T51" s="466"/>
      <c r="U51" s="466"/>
      <c r="V51" s="466"/>
    </row>
    <row r="52" spans="1:22" x14ac:dyDescent="0.2">
      <c r="A52" s="466"/>
      <c r="B52" s="530">
        <f t="shared" si="6"/>
        <v>35</v>
      </c>
      <c r="C52" s="546">
        <f t="shared" si="2"/>
        <v>53510.321458333339</v>
      </c>
      <c r="D52" s="546">
        <f t="shared" si="5"/>
        <v>53510.321458333339</v>
      </c>
      <c r="E52" s="546">
        <f>IF(B52="","-",SUM($D$18:D52))</f>
        <v>1872861.2510416673</v>
      </c>
      <c r="F52" s="546">
        <f t="shared" si="3"/>
        <v>0</v>
      </c>
      <c r="G52" s="546">
        <f>IF(B52="","-",SUM($F$18:F52))</f>
        <v>0</v>
      </c>
      <c r="H52" s="546">
        <f t="shared" si="4"/>
        <v>13518397</v>
      </c>
      <c r="I52" s="465"/>
      <c r="J52" s="466"/>
      <c r="K52" s="466"/>
      <c r="M52" s="466"/>
      <c r="N52" s="466"/>
      <c r="O52" s="466"/>
      <c r="P52" s="466"/>
      <c r="Q52" s="466"/>
      <c r="R52" s="466"/>
      <c r="S52" s="466"/>
      <c r="T52" s="466"/>
      <c r="U52" s="466"/>
      <c r="V52" s="466"/>
    </row>
    <row r="53" spans="1:22" x14ac:dyDescent="0.2">
      <c r="A53" s="466"/>
      <c r="B53" s="548">
        <f t="shared" si="6"/>
        <v>36</v>
      </c>
      <c r="C53" s="549">
        <f t="shared" si="2"/>
        <v>53510.321458333339</v>
      </c>
      <c r="D53" s="549">
        <f t="shared" si="5"/>
        <v>53510.321458333339</v>
      </c>
      <c r="E53" s="549">
        <f>IF(B53="","-",SUM($D$18:D53))</f>
        <v>1926371.5725000007</v>
      </c>
      <c r="F53" s="549">
        <f t="shared" si="3"/>
        <v>0</v>
      </c>
      <c r="G53" s="549">
        <f>IF(B53="","-",SUM($F$18:F53))</f>
        <v>0</v>
      </c>
      <c r="H53" s="549">
        <f t="shared" si="4"/>
        <v>13518397</v>
      </c>
      <c r="I53" s="489"/>
      <c r="J53" s="466"/>
      <c r="K53" s="466"/>
      <c r="M53" s="466"/>
      <c r="N53" s="466"/>
      <c r="O53" s="466"/>
      <c r="P53" s="466"/>
      <c r="Q53" s="466"/>
      <c r="R53" s="466"/>
      <c r="S53" s="466"/>
      <c r="T53" s="466"/>
      <c r="U53" s="466"/>
      <c r="V53" s="466"/>
    </row>
    <row r="54" spans="1:22" x14ac:dyDescent="0.2">
      <c r="A54" s="466"/>
      <c r="B54" s="530">
        <f t="shared" si="6"/>
        <v>37</v>
      </c>
      <c r="C54" s="546">
        <f t="shared" si="2"/>
        <v>74118.749855499453</v>
      </c>
      <c r="D54" s="546">
        <f t="shared" si="5"/>
        <v>53510.321458333339</v>
      </c>
      <c r="E54" s="546">
        <f>IF(B54="","-",SUM($D$18:D54))</f>
        <v>1979881.8939583341</v>
      </c>
      <c r="F54" s="546">
        <f t="shared" si="3"/>
        <v>20608.428397166113</v>
      </c>
      <c r="G54" s="546">
        <f>IF(B54="","-",SUM($F$18:F54))</f>
        <v>20608.428397166113</v>
      </c>
      <c r="H54" s="546">
        <f t="shared" si="4"/>
        <v>13497788.571602834</v>
      </c>
      <c r="I54" s="465"/>
      <c r="J54" s="466"/>
      <c r="K54" s="466"/>
      <c r="M54" s="466"/>
      <c r="N54" s="466"/>
      <c r="O54" s="466"/>
      <c r="P54" s="466"/>
      <c r="Q54" s="466"/>
      <c r="R54" s="466"/>
      <c r="S54" s="466"/>
      <c r="T54" s="466"/>
      <c r="U54" s="466"/>
      <c r="V54" s="466"/>
    </row>
    <row r="55" spans="1:22" x14ac:dyDescent="0.2">
      <c r="A55" s="466"/>
      <c r="B55" s="530">
        <f t="shared" si="6"/>
        <v>38</v>
      </c>
      <c r="C55" s="546">
        <f t="shared" si="2"/>
        <v>74118.749855499453</v>
      </c>
      <c r="D55" s="546">
        <f t="shared" si="5"/>
        <v>53428.746429261228</v>
      </c>
      <c r="E55" s="546">
        <f>IF(B55="","-",SUM($D$18:D55))</f>
        <v>2033310.6403875954</v>
      </c>
      <c r="F55" s="546">
        <f t="shared" si="3"/>
        <v>20690.003426238225</v>
      </c>
      <c r="G55" s="546">
        <f>IF(B55="","-",SUM($F$18:F55))</f>
        <v>41298.431823404339</v>
      </c>
      <c r="H55" s="546">
        <f t="shared" si="4"/>
        <v>13477098.568176595</v>
      </c>
      <c r="I55" s="465"/>
      <c r="J55" s="466"/>
      <c r="K55" s="466"/>
      <c r="M55" s="466"/>
      <c r="N55" s="466"/>
      <c r="O55" s="466"/>
      <c r="P55" s="466"/>
      <c r="Q55" s="466"/>
      <c r="R55" s="466"/>
      <c r="S55" s="466"/>
      <c r="T55" s="466"/>
      <c r="U55" s="466"/>
      <c r="V55" s="466"/>
    </row>
    <row r="56" spans="1:22" x14ac:dyDescent="0.2">
      <c r="A56" s="466"/>
      <c r="B56" s="530">
        <f t="shared" si="6"/>
        <v>39</v>
      </c>
      <c r="C56" s="546">
        <f t="shared" si="2"/>
        <v>74118.749855499453</v>
      </c>
      <c r="D56" s="546">
        <f t="shared" si="5"/>
        <v>53346.848499032363</v>
      </c>
      <c r="E56" s="546">
        <f>IF(B56="","-",SUM($D$18:D56))</f>
        <v>2086657.4888866278</v>
      </c>
      <c r="F56" s="546">
        <f t="shared" si="3"/>
        <v>20771.901356467089</v>
      </c>
      <c r="G56" s="546">
        <f>IF(B56="","-",SUM($F$18:F56))</f>
        <v>62070.333179871428</v>
      </c>
      <c r="H56" s="546">
        <f t="shared" si="4"/>
        <v>13456326.666820128</v>
      </c>
      <c r="I56" s="465"/>
      <c r="J56" s="466"/>
      <c r="K56" s="466"/>
      <c r="M56" s="466"/>
      <c r="N56" s="466"/>
      <c r="O56" s="466"/>
      <c r="P56" s="466"/>
      <c r="Q56" s="466"/>
      <c r="R56" s="466"/>
      <c r="S56" s="466"/>
      <c r="T56" s="466"/>
      <c r="U56" s="466"/>
      <c r="V56" s="466"/>
    </row>
    <row r="57" spans="1:22" x14ac:dyDescent="0.2">
      <c r="A57" s="466"/>
      <c r="B57" s="530">
        <f t="shared" si="6"/>
        <v>40</v>
      </c>
      <c r="C57" s="546">
        <f t="shared" si="2"/>
        <v>74118.749855499453</v>
      </c>
      <c r="D57" s="546">
        <f t="shared" si="5"/>
        <v>53264.626389496341</v>
      </c>
      <c r="E57" s="546">
        <f>IF(B57="","-",SUM($D$18:D57))</f>
        <v>2139922.1152761243</v>
      </c>
      <c r="F57" s="546">
        <f t="shared" si="3"/>
        <v>20854.123466003111</v>
      </c>
      <c r="G57" s="546">
        <f>IF(B57="","-",SUM($F$18:F57))</f>
        <v>82924.456645874539</v>
      </c>
      <c r="H57" s="546">
        <f t="shared" si="4"/>
        <v>13435472.543354124</v>
      </c>
      <c r="I57" s="465"/>
      <c r="J57" s="466"/>
      <c r="K57" s="466"/>
      <c r="M57" s="466"/>
      <c r="N57" s="466"/>
      <c r="O57" s="466"/>
      <c r="P57" s="466"/>
      <c r="Q57" s="466"/>
      <c r="R57" s="466"/>
      <c r="S57" s="466"/>
      <c r="T57" s="466"/>
      <c r="U57" s="466"/>
      <c r="V57" s="466"/>
    </row>
    <row r="58" spans="1:22" x14ac:dyDescent="0.2">
      <c r="A58" s="466"/>
      <c r="B58" s="530">
        <f t="shared" si="6"/>
        <v>41</v>
      </c>
      <c r="C58" s="546">
        <f t="shared" si="2"/>
        <v>74118.749855499453</v>
      </c>
      <c r="D58" s="546">
        <f t="shared" si="5"/>
        <v>53182.078817443413</v>
      </c>
      <c r="E58" s="546">
        <f>IF(B58="","-",SUM($D$18:D58))</f>
        <v>2193104.1940935678</v>
      </c>
      <c r="F58" s="546">
        <f t="shared" si="3"/>
        <v>20936.67103805604</v>
      </c>
      <c r="G58" s="546">
        <f>IF(B58="","-",SUM($F$18:F58))</f>
        <v>103861.12768393058</v>
      </c>
      <c r="H58" s="546">
        <f t="shared" si="4"/>
        <v>13414535.872316068</v>
      </c>
      <c r="I58" s="465"/>
      <c r="J58" s="466"/>
      <c r="K58" s="466"/>
      <c r="M58" s="466"/>
      <c r="N58" s="466"/>
      <c r="O58" s="466"/>
      <c r="P58" s="466"/>
      <c r="Q58" s="466"/>
      <c r="R58" s="466"/>
      <c r="S58" s="466"/>
      <c r="T58" s="466"/>
      <c r="U58" s="466"/>
      <c r="V58" s="466"/>
    </row>
    <row r="59" spans="1:22" x14ac:dyDescent="0.2">
      <c r="A59" s="466"/>
      <c r="B59" s="530">
        <f t="shared" si="6"/>
        <v>42</v>
      </c>
      <c r="C59" s="546">
        <f t="shared" si="2"/>
        <v>74118.749855499453</v>
      </c>
      <c r="D59" s="546">
        <f t="shared" si="5"/>
        <v>53099.204494584439</v>
      </c>
      <c r="E59" s="546">
        <f>IF(B59="","-",SUM($D$18:D59))</f>
        <v>2246203.3985881521</v>
      </c>
      <c r="F59" s="546">
        <f t="shared" si="3"/>
        <v>21019.545360915014</v>
      </c>
      <c r="G59" s="546">
        <f>IF(B59="","-",SUM($F$18:F59))</f>
        <v>124880.67304484559</v>
      </c>
      <c r="H59" s="546">
        <f t="shared" si="4"/>
        <v>13393516.326955153</v>
      </c>
      <c r="I59" s="465"/>
      <c r="J59" s="466"/>
      <c r="K59" s="466"/>
      <c r="M59" s="466"/>
      <c r="N59" s="466"/>
      <c r="O59" s="466"/>
      <c r="P59" s="466"/>
      <c r="Q59" s="466"/>
      <c r="R59" s="466"/>
      <c r="S59" s="466"/>
      <c r="T59" s="466"/>
      <c r="U59" s="466"/>
      <c r="V59" s="466"/>
    </row>
    <row r="60" spans="1:22" x14ac:dyDescent="0.2">
      <c r="A60" s="466"/>
      <c r="B60" s="530">
        <f t="shared" si="6"/>
        <v>43</v>
      </c>
      <c r="C60" s="546">
        <f t="shared" si="2"/>
        <v>74118.749855499453</v>
      </c>
      <c r="D60" s="546">
        <f t="shared" si="5"/>
        <v>53016.002127530817</v>
      </c>
      <c r="E60" s="546">
        <f>IF(B60="","-",SUM($D$18:D60))</f>
        <v>2299219.4007156831</v>
      </c>
      <c r="F60" s="546">
        <f t="shared" si="3"/>
        <v>21102.747727968635</v>
      </c>
      <c r="G60" s="546">
        <f>IF(B60="","-",SUM($F$18:F60))</f>
        <v>145983.42077281422</v>
      </c>
      <c r="H60" s="546">
        <f t="shared" si="4"/>
        <v>13372413.579227185</v>
      </c>
      <c r="I60" s="465"/>
      <c r="J60" s="466"/>
      <c r="K60" s="466"/>
      <c r="M60" s="466"/>
      <c r="N60" s="466"/>
      <c r="O60" s="466"/>
      <c r="P60" s="466"/>
      <c r="Q60" s="466"/>
      <c r="R60" s="466"/>
      <c r="S60" s="466"/>
      <c r="T60" s="466"/>
      <c r="U60" s="466"/>
      <c r="V60" s="466"/>
    </row>
    <row r="61" spans="1:22" x14ac:dyDescent="0.2">
      <c r="A61" s="466"/>
      <c r="B61" s="530">
        <f t="shared" si="6"/>
        <v>44</v>
      </c>
      <c r="C61" s="546">
        <f t="shared" si="2"/>
        <v>74118.749855499453</v>
      </c>
      <c r="D61" s="546">
        <f t="shared" si="5"/>
        <v>52932.470417774275</v>
      </c>
      <c r="E61" s="546">
        <f>IF(B61="","-",SUM($D$18:D61))</f>
        <v>2352151.8711334574</v>
      </c>
      <c r="F61" s="546">
        <f t="shared" si="3"/>
        <v>21186.279437725178</v>
      </c>
      <c r="G61" s="546">
        <f>IF(B61="","-",SUM($F$18:F61))</f>
        <v>167169.70021053939</v>
      </c>
      <c r="H61" s="546">
        <f t="shared" si="4"/>
        <v>13351227.29978946</v>
      </c>
      <c r="I61" s="465"/>
      <c r="J61" s="466"/>
      <c r="K61" s="466"/>
      <c r="M61" s="466"/>
      <c r="N61" s="466"/>
      <c r="O61" s="466"/>
      <c r="P61" s="466"/>
      <c r="Q61" s="466"/>
      <c r="R61" s="466"/>
      <c r="S61" s="466"/>
      <c r="T61" s="466"/>
      <c r="U61" s="466"/>
      <c r="V61" s="466"/>
    </row>
    <row r="62" spans="1:22" x14ac:dyDescent="0.2">
      <c r="A62" s="466"/>
      <c r="B62" s="530">
        <f t="shared" si="6"/>
        <v>45</v>
      </c>
      <c r="C62" s="546">
        <f t="shared" si="2"/>
        <v>74118.749855499453</v>
      </c>
      <c r="D62" s="546">
        <f t="shared" si="5"/>
        <v>52848.608061666615</v>
      </c>
      <c r="E62" s="546">
        <f>IF(B62="","-",SUM($D$18:D62))</f>
        <v>2405000.479195124</v>
      </c>
      <c r="F62" s="546">
        <f t="shared" si="3"/>
        <v>21270.141793832838</v>
      </c>
      <c r="G62" s="546">
        <f>IF(B62="","-",SUM($F$18:F62))</f>
        <v>188439.84200437221</v>
      </c>
      <c r="H62" s="546">
        <f t="shared" si="4"/>
        <v>13329957.157995628</v>
      </c>
      <c r="I62" s="465"/>
      <c r="J62" s="466"/>
      <c r="K62" s="466"/>
      <c r="M62" s="466"/>
      <c r="N62" s="466"/>
      <c r="O62" s="466"/>
      <c r="P62" s="466"/>
      <c r="Q62" s="466"/>
      <c r="R62" s="466"/>
      <c r="S62" s="466"/>
      <c r="T62" s="466"/>
      <c r="U62" s="466"/>
      <c r="V62" s="466"/>
    </row>
    <row r="63" spans="1:22" x14ac:dyDescent="0.2">
      <c r="A63" s="466"/>
      <c r="B63" s="530">
        <f t="shared" si="6"/>
        <v>46</v>
      </c>
      <c r="C63" s="546">
        <f t="shared" si="2"/>
        <v>74118.749855499453</v>
      </c>
      <c r="D63" s="546">
        <f t="shared" si="5"/>
        <v>52764.413750399362</v>
      </c>
      <c r="E63" s="546">
        <f>IF(B63="","-",SUM($D$18:D63))</f>
        <v>2457764.8929455234</v>
      </c>
      <c r="F63" s="546">
        <f t="shared" si="3"/>
        <v>21354.33610510009</v>
      </c>
      <c r="G63" s="546">
        <f>IF(B63="","-",SUM($F$18:F63))</f>
        <v>209794.1781094723</v>
      </c>
      <c r="H63" s="546">
        <f t="shared" si="4"/>
        <v>13308602.821890527</v>
      </c>
      <c r="I63" s="465"/>
      <c r="J63" s="466"/>
      <c r="K63" s="466"/>
      <c r="M63" s="466"/>
      <c r="N63" s="466"/>
      <c r="O63" s="466"/>
      <c r="P63" s="466"/>
      <c r="Q63" s="466"/>
      <c r="R63" s="466"/>
      <c r="S63" s="466"/>
      <c r="T63" s="466"/>
      <c r="U63" s="466"/>
      <c r="V63" s="466"/>
    </row>
    <row r="64" spans="1:22" x14ac:dyDescent="0.2">
      <c r="A64" s="466"/>
      <c r="B64" s="530">
        <f t="shared" si="6"/>
        <v>47</v>
      </c>
      <c r="C64" s="546">
        <f t="shared" si="2"/>
        <v>74118.749855499453</v>
      </c>
      <c r="D64" s="546">
        <f t="shared" si="5"/>
        <v>52679.886169983343</v>
      </c>
      <c r="E64" s="546">
        <f>IF(B64="","-",SUM($D$18:D64))</f>
        <v>2510444.7791155069</v>
      </c>
      <c r="F64" s="546">
        <f t="shared" si="3"/>
        <v>21438.863685516109</v>
      </c>
      <c r="G64" s="546">
        <f>IF(B64="","-",SUM($F$18:F64))</f>
        <v>231233.04179498841</v>
      </c>
      <c r="H64" s="546">
        <f t="shared" si="4"/>
        <v>13287163.958205011</v>
      </c>
      <c r="I64" s="465"/>
      <c r="J64" s="466"/>
      <c r="K64" s="466"/>
      <c r="M64" s="466"/>
      <c r="N64" s="466"/>
      <c r="O64" s="466"/>
      <c r="P64" s="466"/>
      <c r="Q64" s="466"/>
      <c r="R64" s="466"/>
      <c r="S64" s="466"/>
      <c r="T64" s="466"/>
      <c r="U64" s="466"/>
      <c r="V64" s="466"/>
    </row>
    <row r="65" spans="1:22" x14ac:dyDescent="0.2">
      <c r="A65" s="466"/>
      <c r="B65" s="548">
        <f>IF(B64&gt;=$D$5*12,"",B64+1)</f>
        <v>48</v>
      </c>
      <c r="C65" s="549">
        <f t="shared" si="2"/>
        <v>74118.749855499453</v>
      </c>
      <c r="D65" s="549">
        <f>IF(B65="","-",$D$4/12*H64)</f>
        <v>52595.024001228172</v>
      </c>
      <c r="E65" s="549">
        <f>IF(B65="","-",SUM($D$18:D65))</f>
        <v>2563039.8031167351</v>
      </c>
      <c r="F65" s="549">
        <f t="shared" si="3"/>
        <v>21523.725854271281</v>
      </c>
      <c r="G65" s="549">
        <f>IF(B65="","-",SUM($F$18:F65))</f>
        <v>252756.76764925971</v>
      </c>
      <c r="H65" s="549">
        <f t="shared" si="4"/>
        <v>13265640.232350739</v>
      </c>
      <c r="I65" s="489"/>
      <c r="J65" s="466"/>
      <c r="K65" s="466"/>
      <c r="M65" s="466"/>
      <c r="N65" s="466"/>
      <c r="O65" s="466"/>
      <c r="P65" s="466"/>
      <c r="Q65" s="466"/>
      <c r="R65" s="466"/>
      <c r="S65" s="466"/>
      <c r="T65" s="466"/>
      <c r="U65" s="466"/>
      <c r="V65" s="466"/>
    </row>
    <row r="66" spans="1:22" x14ac:dyDescent="0.2">
      <c r="A66" s="466"/>
      <c r="B66" s="530">
        <f t="shared" si="6"/>
        <v>49</v>
      </c>
      <c r="C66" s="546">
        <f t="shared" si="2"/>
        <v>74118.749855499453</v>
      </c>
      <c r="D66" s="546">
        <f t="shared" si="5"/>
        <v>52509.825919721676</v>
      </c>
      <c r="E66" s="546">
        <f>IF(B66="","-",SUM($D$18:D66))</f>
        <v>2615549.6290364568</v>
      </c>
      <c r="F66" s="546">
        <f t="shared" si="3"/>
        <v>21608.923935777777</v>
      </c>
      <c r="G66" s="546">
        <f>IF(B66="","-",SUM($F$18:F66))</f>
        <v>274365.69158503751</v>
      </c>
      <c r="H66" s="546">
        <f t="shared" si="4"/>
        <v>13244031.30841496</v>
      </c>
      <c r="I66" s="465"/>
      <c r="J66" s="466"/>
      <c r="K66" s="466"/>
      <c r="M66" s="466"/>
      <c r="N66" s="466"/>
      <c r="O66" s="466"/>
      <c r="P66" s="466"/>
      <c r="Q66" s="466"/>
      <c r="R66" s="466"/>
      <c r="S66" s="466"/>
      <c r="T66" s="466"/>
      <c r="U66" s="466"/>
      <c r="V66" s="466"/>
    </row>
    <row r="67" spans="1:22" x14ac:dyDescent="0.2">
      <c r="A67" s="466"/>
      <c r="B67" s="530">
        <f t="shared" si="6"/>
        <v>50</v>
      </c>
      <c r="C67" s="546">
        <f t="shared" si="2"/>
        <v>74118.749855499453</v>
      </c>
      <c r="D67" s="546">
        <f t="shared" si="5"/>
        <v>52424.290595809223</v>
      </c>
      <c r="E67" s="546">
        <f>IF(B67="","-",SUM($D$18:D67))</f>
        <v>2667973.9196322658</v>
      </c>
      <c r="F67" s="546">
        <f t="shared" si="3"/>
        <v>21694.459259690229</v>
      </c>
      <c r="G67" s="546">
        <f>IF(B67="","-",SUM($F$18:F67))</f>
        <v>296060.15084472776</v>
      </c>
      <c r="H67" s="546">
        <f t="shared" si="4"/>
        <v>13222336.84915527</v>
      </c>
      <c r="I67" s="465"/>
      <c r="J67" s="466"/>
      <c r="K67" s="466"/>
      <c r="M67" s="466"/>
      <c r="N67" s="466"/>
      <c r="O67" s="466"/>
      <c r="P67" s="466"/>
      <c r="Q67" s="466"/>
      <c r="R67" s="466"/>
      <c r="S67" s="466"/>
      <c r="T67" s="466"/>
      <c r="U67" s="466"/>
      <c r="V67" s="466"/>
    </row>
    <row r="68" spans="1:22" x14ac:dyDescent="0.2">
      <c r="A68" s="466"/>
      <c r="B68" s="530">
        <f t="shared" si="6"/>
        <v>51</v>
      </c>
      <c r="C68" s="546">
        <f t="shared" si="2"/>
        <v>74118.749855499453</v>
      </c>
      <c r="D68" s="546">
        <f t="shared" si="5"/>
        <v>52338.416694572945</v>
      </c>
      <c r="E68" s="546">
        <f>IF(B68="","-",SUM($D$18:D68))</f>
        <v>2720312.3363268389</v>
      </c>
      <c r="F68" s="546">
        <f t="shared" si="3"/>
        <v>21780.333160926508</v>
      </c>
      <c r="G68" s="546">
        <f>IF(B68="","-",SUM($F$18:F68))</f>
        <v>317840.48400565429</v>
      </c>
      <c r="H68" s="546">
        <f t="shared" si="4"/>
        <v>13200556.515994344</v>
      </c>
      <c r="I68" s="465"/>
      <c r="J68" s="466"/>
      <c r="K68" s="466"/>
      <c r="M68" s="466"/>
      <c r="N68" s="466"/>
      <c r="O68" s="466"/>
      <c r="P68" s="466"/>
      <c r="Q68" s="466"/>
      <c r="R68" s="466"/>
      <c r="S68" s="466"/>
      <c r="T68" s="466"/>
      <c r="U68" s="466"/>
      <c r="V68" s="466"/>
    </row>
    <row r="69" spans="1:22" x14ac:dyDescent="0.2">
      <c r="A69" s="466"/>
      <c r="B69" s="530">
        <f t="shared" si="6"/>
        <v>52</v>
      </c>
      <c r="C69" s="546">
        <f t="shared" si="2"/>
        <v>74118.749855499453</v>
      </c>
      <c r="D69" s="546">
        <f t="shared" si="5"/>
        <v>52252.202875810952</v>
      </c>
      <c r="E69" s="546">
        <f>IF(B69="","-",SUM($D$18:D69))</f>
        <v>2772564.5392026501</v>
      </c>
      <c r="F69" s="546">
        <f t="shared" si="3"/>
        <v>21866.546979688501</v>
      </c>
      <c r="G69" s="546">
        <f>IF(B69="","-",SUM($F$18:F69))</f>
        <v>339707.0309853428</v>
      </c>
      <c r="H69" s="546">
        <f t="shared" si="4"/>
        <v>13178689.969014656</v>
      </c>
      <c r="I69" s="465"/>
      <c r="J69" s="466"/>
      <c r="K69" s="466"/>
      <c r="M69" s="466"/>
      <c r="N69" s="466"/>
      <c r="O69" s="466"/>
      <c r="P69" s="466"/>
      <c r="Q69" s="466"/>
      <c r="R69" s="466"/>
      <c r="S69" s="466"/>
      <c r="T69" s="466"/>
      <c r="U69" s="466"/>
      <c r="V69" s="466"/>
    </row>
    <row r="70" spans="1:22" x14ac:dyDescent="0.2">
      <c r="A70" s="466"/>
      <c r="B70" s="530">
        <f t="shared" si="6"/>
        <v>53</v>
      </c>
      <c r="C70" s="546">
        <f t="shared" si="2"/>
        <v>74118.749855499453</v>
      </c>
      <c r="D70" s="546">
        <f t="shared" si="5"/>
        <v>52165.647794016353</v>
      </c>
      <c r="E70" s="546">
        <f>IF(B70="","-",SUM($D$18:D70))</f>
        <v>2824730.1869966662</v>
      </c>
      <c r="F70" s="546">
        <f t="shared" si="3"/>
        <v>21953.1020614831</v>
      </c>
      <c r="G70" s="546">
        <f>IF(B70="","-",SUM($F$18:F70))</f>
        <v>361660.13304682588</v>
      </c>
      <c r="H70" s="546">
        <f t="shared" si="4"/>
        <v>13156736.866953172</v>
      </c>
      <c r="I70" s="465"/>
      <c r="J70" s="466"/>
      <c r="K70" s="466"/>
      <c r="M70" s="466"/>
      <c r="N70" s="466"/>
      <c r="O70" s="466"/>
      <c r="P70" s="466"/>
      <c r="Q70" s="466"/>
      <c r="R70" s="466"/>
      <c r="S70" s="466"/>
      <c r="T70" s="466"/>
      <c r="U70" s="466"/>
      <c r="V70" s="466"/>
    </row>
    <row r="71" spans="1:22" x14ac:dyDescent="0.2">
      <c r="A71" s="466"/>
      <c r="B71" s="530">
        <f t="shared" si="6"/>
        <v>54</v>
      </c>
      <c r="C71" s="546">
        <f t="shared" si="2"/>
        <v>74118.749855499453</v>
      </c>
      <c r="D71" s="546">
        <f t="shared" si="5"/>
        <v>52078.750098356308</v>
      </c>
      <c r="E71" s="546">
        <f>IF(B71="","-",SUM($D$18:D71))</f>
        <v>2876808.9370950228</v>
      </c>
      <c r="F71" s="546">
        <f t="shared" si="3"/>
        <v>22039.999757143145</v>
      </c>
      <c r="G71" s="546">
        <f>IF(B71="","-",SUM($F$18:F71))</f>
        <v>383700.13280396903</v>
      </c>
      <c r="H71" s="546">
        <f t="shared" si="4"/>
        <v>13134696.867196029</v>
      </c>
      <c r="I71" s="465"/>
      <c r="J71" s="466"/>
      <c r="K71" s="466"/>
      <c r="M71" s="466"/>
      <c r="N71" s="466"/>
      <c r="O71" s="466"/>
      <c r="P71" s="466"/>
      <c r="Q71" s="466"/>
      <c r="R71" s="466"/>
      <c r="S71" s="466"/>
      <c r="T71" s="466"/>
      <c r="U71" s="466"/>
      <c r="V71" s="466"/>
    </row>
    <row r="72" spans="1:22" x14ac:dyDescent="0.2">
      <c r="A72" s="466"/>
      <c r="B72" s="530">
        <f t="shared" si="6"/>
        <v>55</v>
      </c>
      <c r="C72" s="546">
        <f t="shared" si="2"/>
        <v>74118.749855499453</v>
      </c>
      <c r="D72" s="546">
        <f t="shared" si="5"/>
        <v>51991.508432650953</v>
      </c>
      <c r="E72" s="546">
        <f>IF(B72="","-",SUM($D$18:D72))</f>
        <v>2928800.4455276737</v>
      </c>
      <c r="F72" s="546">
        <f t="shared" si="3"/>
        <v>22127.241422848499</v>
      </c>
      <c r="G72" s="546">
        <f>IF(B72="","-",SUM($F$18:F72))</f>
        <v>405827.37422681751</v>
      </c>
      <c r="H72" s="546">
        <f t="shared" si="4"/>
        <v>13112569.62577318</v>
      </c>
      <c r="I72" s="465"/>
      <c r="J72" s="466"/>
      <c r="K72" s="466"/>
      <c r="M72" s="466"/>
      <c r="N72" s="466"/>
      <c r="O72" s="466"/>
      <c r="P72" s="466"/>
      <c r="Q72" s="466"/>
      <c r="R72" s="466"/>
      <c r="S72" s="466"/>
      <c r="T72" s="466"/>
      <c r="U72" s="466"/>
      <c r="V72" s="466"/>
    </row>
    <row r="73" spans="1:22" x14ac:dyDescent="0.2">
      <c r="A73" s="466"/>
      <c r="B73" s="530">
        <f t="shared" si="6"/>
        <v>56</v>
      </c>
      <c r="C73" s="546">
        <f t="shared" si="2"/>
        <v>74118.749855499453</v>
      </c>
      <c r="D73" s="546">
        <f t="shared" si="5"/>
        <v>51903.921435352175</v>
      </c>
      <c r="E73" s="546">
        <f>IF(B73="","-",SUM($D$18:D73))</f>
        <v>2980704.3669630256</v>
      </c>
      <c r="F73" s="546">
        <f t="shared" si="3"/>
        <v>22214.828420147278</v>
      </c>
      <c r="G73" s="546">
        <f>IF(B73="","-",SUM($F$18:F73))</f>
        <v>428042.20264696481</v>
      </c>
      <c r="H73" s="546">
        <f t="shared" si="4"/>
        <v>13090354.797353033</v>
      </c>
      <c r="I73" s="465"/>
      <c r="J73" s="466"/>
      <c r="K73" s="466"/>
      <c r="M73" s="466"/>
      <c r="N73" s="466"/>
      <c r="O73" s="466"/>
      <c r="P73" s="466"/>
      <c r="Q73" s="466"/>
      <c r="R73" s="466"/>
      <c r="S73" s="466"/>
      <c r="T73" s="466"/>
      <c r="U73" s="466"/>
      <c r="V73" s="466"/>
    </row>
    <row r="74" spans="1:22" x14ac:dyDescent="0.2">
      <c r="A74" s="466"/>
      <c r="B74" s="530">
        <f t="shared" si="6"/>
        <v>57</v>
      </c>
      <c r="C74" s="546">
        <f t="shared" si="2"/>
        <v>74118.749855499453</v>
      </c>
      <c r="D74" s="546">
        <f t="shared" si="5"/>
        <v>51815.987739522425</v>
      </c>
      <c r="E74" s="546">
        <f>IF(B74="","-",SUM($D$18:D74))</f>
        <v>3032520.3547025481</v>
      </c>
      <c r="F74" s="546">
        <f t="shared" si="3"/>
        <v>22302.762115977028</v>
      </c>
      <c r="G74" s="546">
        <f>IF(B74="","-",SUM($F$18:F74))</f>
        <v>450344.96476294182</v>
      </c>
      <c r="H74" s="546">
        <f t="shared" si="4"/>
        <v>13068052.035237055</v>
      </c>
      <c r="I74" s="465"/>
      <c r="J74" s="466"/>
      <c r="K74" s="466"/>
      <c r="M74" s="466"/>
      <c r="N74" s="466"/>
      <c r="O74" s="466"/>
      <c r="P74" s="466"/>
      <c r="Q74" s="466"/>
      <c r="R74" s="466"/>
      <c r="S74" s="466"/>
      <c r="T74" s="466"/>
      <c r="U74" s="466"/>
      <c r="V74" s="466"/>
    </row>
    <row r="75" spans="1:22" x14ac:dyDescent="0.2">
      <c r="A75" s="466"/>
      <c r="B75" s="530">
        <f t="shared" si="6"/>
        <v>58</v>
      </c>
      <c r="C75" s="546">
        <f t="shared" si="2"/>
        <v>74118.749855499453</v>
      </c>
      <c r="D75" s="546">
        <f t="shared" si="5"/>
        <v>51727.705972813346</v>
      </c>
      <c r="E75" s="546">
        <f>IF(B75="","-",SUM($D$18:D75))</f>
        <v>3084248.0606753617</v>
      </c>
      <c r="F75" s="546">
        <f t="shared" si="3"/>
        <v>22391.043882686106</v>
      </c>
      <c r="G75" s="546">
        <f>IF(B75="","-",SUM($F$18:F75))</f>
        <v>472736.00864562794</v>
      </c>
      <c r="H75" s="546">
        <f t="shared" si="4"/>
        <v>13045660.991354369</v>
      </c>
      <c r="I75" s="465"/>
      <c r="J75" s="466"/>
      <c r="K75" s="466"/>
      <c r="M75" s="466"/>
      <c r="N75" s="466"/>
      <c r="O75" s="466"/>
      <c r="P75" s="466"/>
      <c r="Q75" s="466"/>
      <c r="R75" s="466"/>
      <c r="S75" s="466"/>
      <c r="T75" s="466"/>
      <c r="U75" s="466"/>
      <c r="V75" s="466"/>
    </row>
    <row r="76" spans="1:22" x14ac:dyDescent="0.2">
      <c r="A76" s="466"/>
      <c r="B76" s="530">
        <f t="shared" si="6"/>
        <v>59</v>
      </c>
      <c r="C76" s="546">
        <f t="shared" si="2"/>
        <v>74118.749855499453</v>
      </c>
      <c r="D76" s="546">
        <f t="shared" si="5"/>
        <v>51639.074757444381</v>
      </c>
      <c r="E76" s="546">
        <f>IF(B76="","-",SUM($D$18:D76))</f>
        <v>3135887.1354328059</v>
      </c>
      <c r="F76" s="546">
        <f t="shared" si="3"/>
        <v>22479.675098055071</v>
      </c>
      <c r="G76" s="546">
        <f>IF(B76="","-",SUM($F$18:F76))</f>
        <v>495215.68374368304</v>
      </c>
      <c r="H76" s="546">
        <f t="shared" si="4"/>
        <v>13023181.316256313</v>
      </c>
      <c r="I76" s="465"/>
      <c r="J76" s="466"/>
      <c r="K76" s="466"/>
      <c r="M76" s="466"/>
      <c r="N76" s="466"/>
      <c r="O76" s="466"/>
      <c r="P76" s="466"/>
      <c r="Q76" s="466"/>
      <c r="R76" s="466"/>
      <c r="S76" s="466"/>
      <c r="T76" s="466"/>
      <c r="U76" s="466"/>
      <c r="V76" s="466"/>
    </row>
    <row r="77" spans="1:22" x14ac:dyDescent="0.2">
      <c r="A77" s="466"/>
      <c r="B77" s="548">
        <f>IF(B76&gt;=$D$5*12,"",B76+1)</f>
        <v>60</v>
      </c>
      <c r="C77" s="549">
        <f t="shared" si="2"/>
        <v>74118.749855499453</v>
      </c>
      <c r="D77" s="549">
        <f>IF(B77="","-",$D$4/12*H76)</f>
        <v>51550.092710181241</v>
      </c>
      <c r="E77" s="549">
        <f>IF(B77="","-",SUM($D$18:D77))</f>
        <v>3187437.228142987</v>
      </c>
      <c r="F77" s="549">
        <f t="shared" si="3"/>
        <v>22568.657145318211</v>
      </c>
      <c r="G77" s="549">
        <f>IF(B77="","-",SUM($F$18:F77))</f>
        <v>517784.34088900127</v>
      </c>
      <c r="H77" s="549">
        <f t="shared" si="4"/>
        <v>13000612.659110995</v>
      </c>
      <c r="I77" s="489"/>
      <c r="J77" s="466"/>
      <c r="K77" s="466"/>
      <c r="M77" s="466"/>
      <c r="N77" s="466"/>
      <c r="O77" s="466"/>
      <c r="P77" s="466"/>
      <c r="Q77" s="466"/>
      <c r="R77" s="466"/>
      <c r="S77" s="466"/>
      <c r="T77" s="466"/>
      <c r="U77" s="466"/>
      <c r="V77" s="466"/>
    </row>
    <row r="78" spans="1:22" x14ac:dyDescent="0.2">
      <c r="A78" s="466"/>
      <c r="B78" s="530">
        <f t="shared" si="6"/>
        <v>61</v>
      </c>
      <c r="C78" s="546">
        <f t="shared" si="2"/>
        <v>74118.749855499453</v>
      </c>
      <c r="D78" s="546">
        <f t="shared" si="5"/>
        <v>51460.758442314356</v>
      </c>
      <c r="E78" s="546">
        <f>IF(B78="","-",SUM($D$18:D78))</f>
        <v>3238897.9865853013</v>
      </c>
      <c r="F78" s="546">
        <f t="shared" si="3"/>
        <v>22657.991413185096</v>
      </c>
      <c r="G78" s="546">
        <f>IF(B78="","-",SUM($F$18:F78))</f>
        <v>540442.33230218641</v>
      </c>
      <c r="H78" s="546">
        <f t="shared" si="4"/>
        <v>12977954.66769781</v>
      </c>
      <c r="I78" s="465"/>
      <c r="J78" s="466"/>
      <c r="K78" s="466"/>
      <c r="M78" s="466"/>
      <c r="N78" s="466"/>
      <c r="O78" s="466"/>
      <c r="P78" s="466"/>
      <c r="Q78" s="466"/>
      <c r="R78" s="466"/>
      <c r="S78" s="466"/>
      <c r="T78" s="466"/>
      <c r="U78" s="466"/>
      <c r="V78" s="466"/>
    </row>
    <row r="79" spans="1:22" x14ac:dyDescent="0.2">
      <c r="A79" s="466"/>
      <c r="B79" s="530">
        <f t="shared" si="6"/>
        <v>62</v>
      </c>
      <c r="C79" s="546">
        <f t="shared" si="2"/>
        <v>74118.749855499453</v>
      </c>
      <c r="D79" s="546">
        <f t="shared" si="5"/>
        <v>51371.07055963717</v>
      </c>
      <c r="E79" s="546">
        <f>IF(B79="","-",SUM($D$18:D79))</f>
        <v>3290269.0571449385</v>
      </c>
      <c r="F79" s="546">
        <f t="shared" si="3"/>
        <v>22747.679295862283</v>
      </c>
      <c r="G79" s="546">
        <f>IF(B79="","-",SUM($F$18:F79))</f>
        <v>563190.01159804873</v>
      </c>
      <c r="H79" s="546">
        <f t="shared" si="4"/>
        <v>12955206.988401948</v>
      </c>
      <c r="I79" s="465"/>
      <c r="J79" s="466"/>
      <c r="K79" s="466"/>
      <c r="M79" s="466"/>
      <c r="N79" s="466"/>
      <c r="O79" s="466"/>
      <c r="P79" s="466"/>
      <c r="Q79" s="466"/>
      <c r="R79" s="466"/>
      <c r="S79" s="466"/>
      <c r="T79" s="466"/>
      <c r="U79" s="466"/>
      <c r="V79" s="466"/>
    </row>
    <row r="80" spans="1:22" x14ac:dyDescent="0.2">
      <c r="A80" s="466"/>
      <c r="B80" s="530">
        <f t="shared" si="6"/>
        <v>63</v>
      </c>
      <c r="C80" s="546">
        <f t="shared" si="2"/>
        <v>74118.749855499453</v>
      </c>
      <c r="D80" s="546">
        <f t="shared" si="5"/>
        <v>51281.027662424378</v>
      </c>
      <c r="E80" s="546">
        <f>IF(B80="","-",SUM($D$18:D80))</f>
        <v>3341550.0848073629</v>
      </c>
      <c r="F80" s="546">
        <f t="shared" si="3"/>
        <v>22837.722193075075</v>
      </c>
      <c r="G80" s="546">
        <f>IF(B80="","-",SUM($F$18:F80))</f>
        <v>586027.73379112384</v>
      </c>
      <c r="H80" s="546">
        <f t="shared" si="4"/>
        <v>12932369.266208872</v>
      </c>
      <c r="I80" s="465"/>
      <c r="J80" s="466"/>
      <c r="K80" s="466"/>
      <c r="M80" s="466"/>
      <c r="N80" s="466"/>
      <c r="O80" s="466"/>
      <c r="P80" s="466"/>
      <c r="Q80" s="466"/>
      <c r="R80" s="466"/>
      <c r="S80" s="466"/>
      <c r="T80" s="466"/>
      <c r="U80" s="466"/>
      <c r="V80" s="466"/>
    </row>
    <row r="81" spans="1:22" x14ac:dyDescent="0.2">
      <c r="A81" s="466"/>
      <c r="B81" s="530">
        <f t="shared" si="6"/>
        <v>64</v>
      </c>
      <c r="C81" s="546">
        <f t="shared" si="2"/>
        <v>74118.749855499453</v>
      </c>
      <c r="D81" s="546">
        <f t="shared" si="5"/>
        <v>51190.628345410121</v>
      </c>
      <c r="E81" s="546">
        <f>IF(B81="","-",SUM($D$18:D81))</f>
        <v>3392740.7131527732</v>
      </c>
      <c r="F81" s="546">
        <f t="shared" si="3"/>
        <v>22928.121510089331</v>
      </c>
      <c r="G81" s="546">
        <f>IF(B81="","-",SUM($F$18:F81))</f>
        <v>608955.85530121322</v>
      </c>
      <c r="H81" s="546">
        <f t="shared" si="4"/>
        <v>12909441.144698784</v>
      </c>
      <c r="I81" s="465"/>
      <c r="J81" s="466"/>
      <c r="K81" s="466"/>
      <c r="M81" s="466"/>
      <c r="N81" s="466"/>
      <c r="O81" s="466"/>
      <c r="P81" s="466"/>
      <c r="Q81" s="466"/>
      <c r="R81" s="466"/>
      <c r="S81" s="466"/>
      <c r="T81" s="466"/>
      <c r="U81" s="466"/>
      <c r="V81" s="466"/>
    </row>
    <row r="82" spans="1:22" x14ac:dyDescent="0.2">
      <c r="A82" s="466"/>
      <c r="B82" s="530">
        <f t="shared" si="6"/>
        <v>65</v>
      </c>
      <c r="C82" s="546">
        <f t="shared" ref="C82:C145" si="7">IF(B82="","-",IF(B82&lt;=$D$6,D82,  $D$7))</f>
        <v>74118.749855499453</v>
      </c>
      <c r="D82" s="546">
        <f t="shared" si="5"/>
        <v>51099.87119776602</v>
      </c>
      <c r="E82" s="546">
        <f>IF(B82="","-",SUM($D$18:D82))</f>
        <v>3443840.5843505394</v>
      </c>
      <c r="F82" s="546">
        <f t="shared" ref="F82:F145" si="8">IF(B82="","-",C82-D82)</f>
        <v>23018.878657733432</v>
      </c>
      <c r="G82" s="546">
        <f>IF(B82="","-",SUM($F$18:F82))</f>
        <v>631974.73395894666</v>
      </c>
      <c r="H82" s="546">
        <f t="shared" ref="H82:H145" si="9">IF(B82="","-",H81-F82)</f>
        <v>12886422.26604105</v>
      </c>
      <c r="I82" s="465"/>
      <c r="J82" s="466"/>
      <c r="K82" s="466"/>
      <c r="M82" s="466"/>
      <c r="N82" s="466"/>
      <c r="O82" s="466"/>
      <c r="P82" s="466"/>
      <c r="Q82" s="466"/>
      <c r="R82" s="466"/>
      <c r="S82" s="466"/>
      <c r="T82" s="466"/>
      <c r="U82" s="466"/>
      <c r="V82" s="466"/>
    </row>
    <row r="83" spans="1:22" x14ac:dyDescent="0.2">
      <c r="A83" s="466"/>
      <c r="B83" s="530">
        <f t="shared" ref="B83:B146" si="10">IF(B82&gt;=$D$5*12,"",B82+1)</f>
        <v>66</v>
      </c>
      <c r="C83" s="546">
        <f t="shared" si="7"/>
        <v>74118.749855499453</v>
      </c>
      <c r="D83" s="546">
        <f t="shared" ref="D83:D146" si="11">IF(B83="","-",$D$4/12*H82)</f>
        <v>51008.754803079159</v>
      </c>
      <c r="E83" s="546">
        <f>IF(B83="","-",SUM($D$18:D83))</f>
        <v>3494849.3391536186</v>
      </c>
      <c r="F83" s="546">
        <f t="shared" si="8"/>
        <v>23109.995052420294</v>
      </c>
      <c r="G83" s="546">
        <f>IF(B83="","-",SUM($F$18:F83))</f>
        <v>655084.72901136696</v>
      </c>
      <c r="H83" s="546">
        <f t="shared" si="9"/>
        <v>12863312.27098863</v>
      </c>
      <c r="I83" s="465"/>
      <c r="J83" s="466"/>
      <c r="K83" s="466"/>
      <c r="M83" s="466"/>
      <c r="N83" s="466"/>
      <c r="O83" s="466"/>
      <c r="P83" s="466"/>
      <c r="Q83" s="466"/>
      <c r="R83" s="466"/>
      <c r="S83" s="466"/>
      <c r="T83" s="466"/>
      <c r="U83" s="466"/>
      <c r="V83" s="466"/>
    </row>
    <row r="84" spans="1:22" x14ac:dyDescent="0.2">
      <c r="A84" s="466"/>
      <c r="B84" s="530">
        <f t="shared" si="10"/>
        <v>67</v>
      </c>
      <c r="C84" s="546">
        <f t="shared" si="7"/>
        <v>74118.749855499453</v>
      </c>
      <c r="D84" s="546">
        <f t="shared" si="11"/>
        <v>50917.277739329998</v>
      </c>
      <c r="E84" s="546">
        <f>IF(B84="","-",SUM($D$18:D84))</f>
        <v>3545766.6168929487</v>
      </c>
      <c r="F84" s="546">
        <f t="shared" si="8"/>
        <v>23201.472116169454</v>
      </c>
      <c r="G84" s="546">
        <f>IF(B84="","-",SUM($F$18:F84))</f>
        <v>678286.20112753636</v>
      </c>
      <c r="H84" s="546">
        <f t="shared" si="9"/>
        <v>12840110.798872462</v>
      </c>
      <c r="I84" s="465"/>
      <c r="J84" s="466"/>
      <c r="K84" s="466"/>
      <c r="M84" s="466"/>
      <c r="N84" s="466"/>
      <c r="O84" s="466"/>
      <c r="P84" s="466"/>
      <c r="Q84" s="466"/>
      <c r="R84" s="466"/>
      <c r="S84" s="466"/>
      <c r="T84" s="466"/>
      <c r="U84" s="466"/>
      <c r="V84" s="466"/>
    </row>
    <row r="85" spans="1:22" x14ac:dyDescent="0.2">
      <c r="A85" s="466"/>
      <c r="B85" s="530">
        <f t="shared" si="10"/>
        <v>68</v>
      </c>
      <c r="C85" s="546">
        <f t="shared" si="7"/>
        <v>74118.749855499453</v>
      </c>
      <c r="D85" s="546">
        <f t="shared" si="11"/>
        <v>50825.438578870162</v>
      </c>
      <c r="E85" s="546">
        <f>IF(B85="","-",SUM($D$18:D85))</f>
        <v>3596592.0554718189</v>
      </c>
      <c r="F85" s="546">
        <f t="shared" si="8"/>
        <v>23293.311276629291</v>
      </c>
      <c r="G85" s="546">
        <f>IF(B85="","-",SUM($F$18:F85))</f>
        <v>701579.5124041657</v>
      </c>
      <c r="H85" s="546">
        <f t="shared" si="9"/>
        <v>12816817.487595832</v>
      </c>
      <c r="I85" s="465"/>
      <c r="J85" s="466"/>
      <c r="K85" s="466"/>
      <c r="M85" s="466"/>
      <c r="N85" s="466"/>
      <c r="O85" s="466"/>
      <c r="P85" s="466"/>
      <c r="Q85" s="466"/>
      <c r="R85" s="466"/>
      <c r="S85" s="466"/>
      <c r="T85" s="466"/>
      <c r="U85" s="466"/>
      <c r="V85" s="466"/>
    </row>
    <row r="86" spans="1:22" x14ac:dyDescent="0.2">
      <c r="A86" s="466"/>
      <c r="B86" s="530">
        <f t="shared" si="10"/>
        <v>69</v>
      </c>
      <c r="C86" s="546">
        <f t="shared" si="7"/>
        <v>74118.749855499453</v>
      </c>
      <c r="D86" s="546">
        <f t="shared" si="11"/>
        <v>50733.235888400173</v>
      </c>
      <c r="E86" s="546">
        <f>IF(B86="","-",SUM($D$18:D86))</f>
        <v>3647325.291360219</v>
      </c>
      <c r="F86" s="546">
        <f t="shared" si="8"/>
        <v>23385.513967099279</v>
      </c>
      <c r="G86" s="546">
        <f>IF(B86="","-",SUM($F$18:F86))</f>
        <v>724965.02637126495</v>
      </c>
      <c r="H86" s="546">
        <f t="shared" si="9"/>
        <v>12793431.973628733</v>
      </c>
      <c r="I86" s="465"/>
      <c r="J86" s="466"/>
      <c r="K86" s="466"/>
      <c r="M86" s="466"/>
      <c r="N86" s="466"/>
      <c r="O86" s="466"/>
      <c r="P86" s="466"/>
      <c r="Q86" s="466"/>
      <c r="R86" s="466"/>
      <c r="S86" s="466"/>
      <c r="T86" s="466"/>
      <c r="U86" s="466"/>
      <c r="V86" s="466"/>
    </row>
    <row r="87" spans="1:22" x14ac:dyDescent="0.2">
      <c r="A87" s="466"/>
      <c r="B87" s="530">
        <f t="shared" si="10"/>
        <v>70</v>
      </c>
      <c r="C87" s="546">
        <f t="shared" si="7"/>
        <v>74118.749855499453</v>
      </c>
      <c r="D87" s="546">
        <f t="shared" si="11"/>
        <v>50640.66822894707</v>
      </c>
      <c r="E87" s="546">
        <f>IF(B87="","-",SUM($D$18:D87))</f>
        <v>3697965.9595891661</v>
      </c>
      <c r="F87" s="546">
        <f t="shared" si="8"/>
        <v>23478.081626552383</v>
      </c>
      <c r="G87" s="546">
        <f>IF(B87="","-",SUM($F$18:F87))</f>
        <v>748443.10799781734</v>
      </c>
      <c r="H87" s="546">
        <f t="shared" si="9"/>
        <v>12769953.89200218</v>
      </c>
      <c r="I87" s="465"/>
      <c r="J87" s="466"/>
      <c r="K87" s="466"/>
      <c r="M87" s="466"/>
      <c r="N87" s="466"/>
      <c r="O87" s="466"/>
      <c r="P87" s="466"/>
      <c r="Q87" s="466"/>
      <c r="R87" s="466"/>
      <c r="S87" s="466"/>
      <c r="T87" s="466"/>
      <c r="U87" s="466"/>
      <c r="V87" s="466"/>
    </row>
    <row r="88" spans="1:22" x14ac:dyDescent="0.2">
      <c r="A88" s="466"/>
      <c r="B88" s="530">
        <f t="shared" si="10"/>
        <v>71</v>
      </c>
      <c r="C88" s="546">
        <f t="shared" si="7"/>
        <v>74118.749855499453</v>
      </c>
      <c r="D88" s="546">
        <f t="shared" si="11"/>
        <v>50547.734155841965</v>
      </c>
      <c r="E88" s="546">
        <f>IF(B88="","-",SUM($D$18:D88))</f>
        <v>3748513.6937450082</v>
      </c>
      <c r="F88" s="546">
        <f t="shared" si="8"/>
        <v>23571.015699657488</v>
      </c>
      <c r="G88" s="546">
        <f>IF(B88="","-",SUM($F$18:F88))</f>
        <v>772014.12369747483</v>
      </c>
      <c r="H88" s="546">
        <f t="shared" si="9"/>
        <v>12746382.876302524</v>
      </c>
      <c r="I88" s="465"/>
      <c r="J88" s="466"/>
      <c r="K88" s="466"/>
      <c r="M88" s="466"/>
      <c r="N88" s="466"/>
      <c r="O88" s="466"/>
      <c r="P88" s="466"/>
      <c r="Q88" s="466"/>
      <c r="R88" s="466"/>
      <c r="S88" s="466"/>
      <c r="T88" s="466"/>
      <c r="U88" s="466"/>
      <c r="V88" s="466"/>
    </row>
    <row r="89" spans="1:22" x14ac:dyDescent="0.2">
      <c r="A89" s="466"/>
      <c r="B89" s="548">
        <f t="shared" si="10"/>
        <v>72</v>
      </c>
      <c r="C89" s="549">
        <f t="shared" si="7"/>
        <v>74118.749855499453</v>
      </c>
      <c r="D89" s="549">
        <f t="shared" si="11"/>
        <v>50454.432218697497</v>
      </c>
      <c r="E89" s="549">
        <f>IF(B89="","-",SUM($D$18:D89))</f>
        <v>3798968.1259637056</v>
      </c>
      <c r="F89" s="549">
        <f t="shared" si="8"/>
        <v>23664.317636801956</v>
      </c>
      <c r="G89" s="549">
        <f>IF(B89="","-",SUM($F$18:F89))</f>
        <v>795678.44133427681</v>
      </c>
      <c r="H89" s="549">
        <f t="shared" si="9"/>
        <v>12722718.558665721</v>
      </c>
      <c r="I89" s="489"/>
      <c r="J89" s="466"/>
      <c r="K89" s="466"/>
      <c r="M89" s="466"/>
      <c r="N89" s="466"/>
      <c r="O89" s="466"/>
      <c r="P89" s="466"/>
      <c r="Q89" s="466"/>
      <c r="R89" s="466"/>
      <c r="S89" s="466"/>
      <c r="T89" s="466"/>
      <c r="U89" s="466"/>
      <c r="V89" s="466"/>
    </row>
    <row r="90" spans="1:22" x14ac:dyDescent="0.2">
      <c r="A90" s="466"/>
      <c r="B90" s="530">
        <f t="shared" si="10"/>
        <v>73</v>
      </c>
      <c r="C90" s="546">
        <f t="shared" si="7"/>
        <v>74118.749855499453</v>
      </c>
      <c r="D90" s="546">
        <f t="shared" si="11"/>
        <v>50360.760961385145</v>
      </c>
      <c r="E90" s="546">
        <f>IF(B90="","-",SUM($D$18:D90))</f>
        <v>3849328.8869250906</v>
      </c>
      <c r="F90" s="546">
        <f t="shared" si="8"/>
        <v>23757.988894114307</v>
      </c>
      <c r="G90" s="546">
        <f>IF(B90="","-",SUM($F$18:F90))</f>
        <v>819436.43022839108</v>
      </c>
      <c r="H90" s="546">
        <f t="shared" si="9"/>
        <v>12698960.569771606</v>
      </c>
      <c r="I90" s="465"/>
      <c r="J90" s="466"/>
      <c r="K90" s="466"/>
      <c r="M90" s="466"/>
      <c r="N90" s="466"/>
      <c r="O90" s="466"/>
      <c r="P90" s="466"/>
      <c r="Q90" s="466"/>
      <c r="R90" s="466"/>
      <c r="S90" s="466"/>
      <c r="T90" s="466"/>
      <c r="U90" s="466"/>
      <c r="V90" s="466"/>
    </row>
    <row r="91" spans="1:22" x14ac:dyDescent="0.2">
      <c r="A91" s="466"/>
      <c r="B91" s="530">
        <f t="shared" si="10"/>
        <v>74</v>
      </c>
      <c r="C91" s="546">
        <f t="shared" si="7"/>
        <v>74118.749855499453</v>
      </c>
      <c r="D91" s="546">
        <f t="shared" si="11"/>
        <v>50266.718922012617</v>
      </c>
      <c r="E91" s="546">
        <f>IF(B91="","-",SUM($D$18:D91))</f>
        <v>3899595.6058471031</v>
      </c>
      <c r="F91" s="546">
        <f t="shared" si="8"/>
        <v>23852.030933486836</v>
      </c>
      <c r="G91" s="546">
        <f>IF(B91="","-",SUM($F$18:F91))</f>
        <v>843288.46116187796</v>
      </c>
      <c r="H91" s="546">
        <f t="shared" si="9"/>
        <v>12675108.53883812</v>
      </c>
      <c r="I91" s="465"/>
      <c r="J91" s="466"/>
      <c r="K91" s="466"/>
      <c r="M91" s="466"/>
      <c r="N91" s="466"/>
      <c r="O91" s="466"/>
      <c r="P91" s="466"/>
      <c r="Q91" s="466"/>
      <c r="R91" s="466"/>
      <c r="S91" s="466"/>
      <c r="T91" s="466"/>
      <c r="U91" s="466"/>
      <c r="V91" s="466"/>
    </row>
    <row r="92" spans="1:22" x14ac:dyDescent="0.2">
      <c r="A92" s="466"/>
      <c r="B92" s="530">
        <f t="shared" si="10"/>
        <v>75</v>
      </c>
      <c r="C92" s="546">
        <f t="shared" si="7"/>
        <v>74118.749855499453</v>
      </c>
      <c r="D92" s="546">
        <f t="shared" si="11"/>
        <v>50172.304632900894</v>
      </c>
      <c r="E92" s="546">
        <f>IF(B92="","-",SUM($D$18:D92))</f>
        <v>3949767.9104800038</v>
      </c>
      <c r="F92" s="546">
        <f t="shared" si="8"/>
        <v>23946.445222598559</v>
      </c>
      <c r="G92" s="546">
        <f>IF(B92="","-",SUM($F$18:F92))</f>
        <v>867234.90638447646</v>
      </c>
      <c r="H92" s="546">
        <f t="shared" si="9"/>
        <v>12651162.093615521</v>
      </c>
      <c r="I92" s="465"/>
      <c r="J92" s="466"/>
      <c r="K92" s="466"/>
      <c r="M92" s="466"/>
      <c r="N92" s="466"/>
      <c r="O92" s="466"/>
      <c r="P92" s="466"/>
      <c r="Q92" s="466"/>
      <c r="R92" s="466"/>
      <c r="S92" s="466"/>
      <c r="T92" s="466"/>
      <c r="U92" s="466"/>
      <c r="V92" s="466"/>
    </row>
    <row r="93" spans="1:22" x14ac:dyDescent="0.2">
      <c r="A93" s="466"/>
      <c r="B93" s="530">
        <f t="shared" si="10"/>
        <v>76</v>
      </c>
      <c r="C93" s="546">
        <f t="shared" si="7"/>
        <v>74118.749855499453</v>
      </c>
      <c r="D93" s="546">
        <f t="shared" si="11"/>
        <v>50077.516620561444</v>
      </c>
      <c r="E93" s="546">
        <f>IF(B93="","-",SUM($D$18:D93))</f>
        <v>3999845.4271005653</v>
      </c>
      <c r="F93" s="546">
        <f t="shared" si="8"/>
        <v>24041.233234938009</v>
      </c>
      <c r="G93" s="546">
        <f>IF(B93="","-",SUM($F$18:F93))</f>
        <v>891276.13961941446</v>
      </c>
      <c r="H93" s="546">
        <f t="shared" si="9"/>
        <v>12627120.860380583</v>
      </c>
      <c r="I93" s="465"/>
      <c r="J93" s="466"/>
      <c r="K93" s="466"/>
      <c r="M93" s="466"/>
      <c r="N93" s="466"/>
      <c r="O93" s="466"/>
      <c r="P93" s="466"/>
      <c r="Q93" s="466"/>
      <c r="R93" s="466"/>
      <c r="S93" s="466"/>
      <c r="T93" s="466"/>
      <c r="U93" s="466"/>
      <c r="V93" s="466"/>
    </row>
    <row r="94" spans="1:22" x14ac:dyDescent="0.2">
      <c r="A94" s="466"/>
      <c r="B94" s="530">
        <f t="shared" si="10"/>
        <v>77</v>
      </c>
      <c r="C94" s="546">
        <f t="shared" si="7"/>
        <v>74118.749855499453</v>
      </c>
      <c r="D94" s="546">
        <f t="shared" si="11"/>
        <v>49982.353405673144</v>
      </c>
      <c r="E94" s="546">
        <f>IF(B94="","-",SUM($D$18:D94))</f>
        <v>4049827.7805062383</v>
      </c>
      <c r="F94" s="546">
        <f t="shared" si="8"/>
        <v>24136.396449826309</v>
      </c>
      <c r="G94" s="546">
        <f>IF(B94="","-",SUM($F$18:F94))</f>
        <v>915412.53606924077</v>
      </c>
      <c r="H94" s="546">
        <f t="shared" si="9"/>
        <v>12602984.463930756</v>
      </c>
      <c r="I94" s="465"/>
      <c r="J94" s="466"/>
      <c r="K94" s="466"/>
      <c r="M94" s="466"/>
      <c r="N94" s="466"/>
      <c r="O94" s="466"/>
      <c r="P94" s="466"/>
      <c r="Q94" s="466"/>
      <c r="R94" s="466"/>
      <c r="S94" s="466"/>
      <c r="T94" s="466"/>
      <c r="U94" s="466"/>
      <c r="V94" s="466"/>
    </row>
    <row r="95" spans="1:22" x14ac:dyDescent="0.2">
      <c r="A95" s="466"/>
      <c r="B95" s="530">
        <f t="shared" si="10"/>
        <v>78</v>
      </c>
      <c r="C95" s="546">
        <f t="shared" si="7"/>
        <v>74118.749855499453</v>
      </c>
      <c r="D95" s="546">
        <f t="shared" si="11"/>
        <v>49886.813503059246</v>
      </c>
      <c r="E95" s="546">
        <f>IF(B95="","-",SUM($D$18:D95))</f>
        <v>4099714.5940092974</v>
      </c>
      <c r="F95" s="546">
        <f t="shared" si="8"/>
        <v>24231.936352440207</v>
      </c>
      <c r="G95" s="546">
        <f>IF(B95="","-",SUM($F$18:F95))</f>
        <v>939644.47242168093</v>
      </c>
      <c r="H95" s="546">
        <f t="shared" si="9"/>
        <v>12578752.527578315</v>
      </c>
      <c r="I95" s="465"/>
      <c r="J95" s="466"/>
      <c r="K95" s="466"/>
      <c r="M95" s="466"/>
      <c r="N95" s="466"/>
      <c r="O95" s="466"/>
      <c r="P95" s="466"/>
      <c r="Q95" s="466"/>
      <c r="R95" s="466"/>
      <c r="S95" s="466"/>
      <c r="T95" s="466"/>
      <c r="U95" s="466"/>
      <c r="V95" s="466"/>
    </row>
    <row r="96" spans="1:22" x14ac:dyDescent="0.2">
      <c r="A96" s="466"/>
      <c r="B96" s="530">
        <f t="shared" si="10"/>
        <v>79</v>
      </c>
      <c r="C96" s="546">
        <f t="shared" si="7"/>
        <v>74118.749855499453</v>
      </c>
      <c r="D96" s="546">
        <f t="shared" si="11"/>
        <v>49790.895421664165</v>
      </c>
      <c r="E96" s="546">
        <f>IF(B96="","-",SUM($D$18:D96))</f>
        <v>4149505.4894309617</v>
      </c>
      <c r="F96" s="546">
        <f t="shared" si="8"/>
        <v>24327.854433835288</v>
      </c>
      <c r="G96" s="546">
        <f>IF(B96="","-",SUM($F$18:F96))</f>
        <v>963972.32685551618</v>
      </c>
      <c r="H96" s="546">
        <f t="shared" si="9"/>
        <v>12554424.67314448</v>
      </c>
      <c r="I96" s="465"/>
      <c r="J96" s="466"/>
      <c r="K96" s="466"/>
      <c r="M96" s="466"/>
      <c r="N96" s="466"/>
      <c r="O96" s="466"/>
      <c r="P96" s="466"/>
      <c r="Q96" s="466"/>
      <c r="R96" s="466"/>
      <c r="S96" s="466"/>
      <c r="T96" s="466"/>
      <c r="U96" s="466"/>
      <c r="V96" s="466"/>
    </row>
    <row r="97" spans="1:22" x14ac:dyDescent="0.2">
      <c r="A97" s="466"/>
      <c r="B97" s="530">
        <f t="shared" si="10"/>
        <v>80</v>
      </c>
      <c r="C97" s="546">
        <f t="shared" si="7"/>
        <v>74118.749855499453</v>
      </c>
      <c r="D97" s="546">
        <f t="shared" si="11"/>
        <v>49694.597664530236</v>
      </c>
      <c r="E97" s="546">
        <f>IF(B97="","-",SUM($D$18:D97))</f>
        <v>4199200.0870954916</v>
      </c>
      <c r="F97" s="546">
        <f t="shared" si="8"/>
        <v>24424.152190969216</v>
      </c>
      <c r="G97" s="546">
        <f>IF(B97="","-",SUM($F$18:F97))</f>
        <v>988396.47904648539</v>
      </c>
      <c r="H97" s="546">
        <f t="shared" si="9"/>
        <v>12530000.520953512</v>
      </c>
      <c r="I97" s="465"/>
      <c r="J97" s="466"/>
      <c r="K97" s="466"/>
      <c r="M97" s="466"/>
      <c r="N97" s="466"/>
      <c r="O97" s="466"/>
      <c r="P97" s="466"/>
      <c r="Q97" s="466"/>
      <c r="R97" s="466"/>
      <c r="S97" s="466"/>
      <c r="T97" s="466"/>
      <c r="U97" s="466"/>
      <c r="V97" s="466"/>
    </row>
    <row r="98" spans="1:22" x14ac:dyDescent="0.2">
      <c r="A98" s="466"/>
      <c r="B98" s="530">
        <f t="shared" si="10"/>
        <v>81</v>
      </c>
      <c r="C98" s="546">
        <f t="shared" si="7"/>
        <v>74118.749855499453</v>
      </c>
      <c r="D98" s="546">
        <f t="shared" si="11"/>
        <v>49597.918728774319</v>
      </c>
      <c r="E98" s="546">
        <f>IF(B98="","-",SUM($D$18:D98))</f>
        <v>4248798.005824266</v>
      </c>
      <c r="F98" s="546">
        <f t="shared" si="8"/>
        <v>24520.831126725134</v>
      </c>
      <c r="G98" s="546">
        <f>IF(B98="","-",SUM($F$18:F98))</f>
        <v>1012917.3101732106</v>
      </c>
      <c r="H98" s="546">
        <f t="shared" si="9"/>
        <v>12505479.689826787</v>
      </c>
      <c r="I98" s="465"/>
      <c r="J98" s="466"/>
      <c r="K98" s="466"/>
      <c r="M98" s="466"/>
      <c r="N98" s="466"/>
      <c r="O98" s="466"/>
      <c r="P98" s="466"/>
      <c r="Q98" s="466"/>
      <c r="R98" s="466"/>
      <c r="S98" s="466"/>
      <c r="T98" s="466"/>
      <c r="U98" s="466"/>
      <c r="V98" s="466"/>
    </row>
    <row r="99" spans="1:22" x14ac:dyDescent="0.2">
      <c r="A99" s="466"/>
      <c r="B99" s="530">
        <f t="shared" si="10"/>
        <v>82</v>
      </c>
      <c r="C99" s="546">
        <f t="shared" si="7"/>
        <v>74118.749855499453</v>
      </c>
      <c r="D99" s="546">
        <f t="shared" si="11"/>
        <v>49500.85710556437</v>
      </c>
      <c r="E99" s="546">
        <f>IF(B99="","-",SUM($D$18:D99))</f>
        <v>4298298.8629298303</v>
      </c>
      <c r="F99" s="546">
        <f t="shared" si="8"/>
        <v>24617.892749935083</v>
      </c>
      <c r="G99" s="546">
        <f>IF(B99="","-",SUM($F$18:F99))</f>
        <v>1037535.2029231456</v>
      </c>
      <c r="H99" s="546">
        <f t="shared" si="9"/>
        <v>12480861.797076851</v>
      </c>
      <c r="I99" s="465"/>
      <c r="J99" s="466"/>
      <c r="K99" s="466"/>
      <c r="M99" s="466"/>
      <c r="N99" s="466"/>
      <c r="O99" s="466"/>
      <c r="P99" s="466"/>
      <c r="Q99" s="466"/>
      <c r="R99" s="466"/>
      <c r="S99" s="466"/>
      <c r="T99" s="466"/>
      <c r="U99" s="466"/>
      <c r="V99" s="466"/>
    </row>
    <row r="100" spans="1:22" x14ac:dyDescent="0.2">
      <c r="A100" s="466"/>
      <c r="B100" s="530">
        <f t="shared" si="10"/>
        <v>83</v>
      </c>
      <c r="C100" s="546">
        <f t="shared" si="7"/>
        <v>74118.749855499453</v>
      </c>
      <c r="D100" s="546">
        <f t="shared" si="11"/>
        <v>49403.411280095876</v>
      </c>
      <c r="E100" s="546">
        <f>IF(B100="","-",SUM($D$18:D100))</f>
        <v>4347702.2742099259</v>
      </c>
      <c r="F100" s="546">
        <f t="shared" si="8"/>
        <v>24715.338575403577</v>
      </c>
      <c r="G100" s="546">
        <f>IF(B100="","-",SUM($F$18:F100))</f>
        <v>1062250.5414985493</v>
      </c>
      <c r="H100" s="546">
        <f t="shared" si="9"/>
        <v>12456146.458501447</v>
      </c>
      <c r="I100" s="465"/>
      <c r="J100" s="466"/>
      <c r="K100" s="466"/>
      <c r="M100" s="466"/>
      <c r="N100" s="466"/>
      <c r="O100" s="466"/>
      <c r="P100" s="466"/>
      <c r="Q100" s="466"/>
      <c r="R100" s="466"/>
      <c r="S100" s="466"/>
      <c r="T100" s="466"/>
      <c r="U100" s="466"/>
      <c r="V100" s="466"/>
    </row>
    <row r="101" spans="1:22" x14ac:dyDescent="0.2">
      <c r="A101" s="466"/>
      <c r="B101" s="548">
        <f t="shared" si="10"/>
        <v>84</v>
      </c>
      <c r="C101" s="549">
        <f t="shared" si="7"/>
        <v>74118.749855499453</v>
      </c>
      <c r="D101" s="549">
        <f t="shared" si="11"/>
        <v>49305.579731568228</v>
      </c>
      <c r="E101" s="549">
        <f>IF(B101="","-",SUM($D$18:D101))</f>
        <v>4397007.8539414946</v>
      </c>
      <c r="F101" s="549">
        <f t="shared" si="8"/>
        <v>24813.170123931224</v>
      </c>
      <c r="G101" s="549">
        <f>IF(B101="","-",SUM($F$18:F101))</f>
        <v>1087063.7116224805</v>
      </c>
      <c r="H101" s="549">
        <f t="shared" si="9"/>
        <v>12431333.288377516</v>
      </c>
      <c r="I101" s="489"/>
      <c r="J101" s="466"/>
      <c r="K101" s="466"/>
      <c r="M101" s="466"/>
      <c r="N101" s="466"/>
      <c r="O101" s="466"/>
      <c r="P101" s="466"/>
      <c r="Q101" s="466"/>
      <c r="R101" s="466"/>
      <c r="S101" s="466"/>
      <c r="T101" s="466"/>
      <c r="U101" s="466"/>
      <c r="V101" s="466"/>
    </row>
    <row r="102" spans="1:22" x14ac:dyDescent="0.2">
      <c r="A102" s="466"/>
      <c r="B102" s="530">
        <f t="shared" si="10"/>
        <v>85</v>
      </c>
      <c r="C102" s="546">
        <f t="shared" si="7"/>
        <v>74118.749855499453</v>
      </c>
      <c r="D102" s="546">
        <f t="shared" si="11"/>
        <v>49207.360933161006</v>
      </c>
      <c r="E102" s="546">
        <f>IF(B102="","-",SUM($D$18:D102))</f>
        <v>4446215.2148746559</v>
      </c>
      <c r="F102" s="546">
        <f t="shared" si="8"/>
        <v>24911.388922338447</v>
      </c>
      <c r="G102" s="546">
        <f>IF(B102="","-",SUM($F$18:F102))</f>
        <v>1111975.1005448189</v>
      </c>
      <c r="H102" s="546">
        <f t="shared" si="9"/>
        <v>12406421.899455177</v>
      </c>
      <c r="I102" s="465"/>
      <c r="J102" s="466"/>
      <c r="K102" s="466"/>
      <c r="M102" s="466"/>
      <c r="N102" s="466"/>
      <c r="O102" s="466"/>
      <c r="P102" s="466"/>
      <c r="Q102" s="466"/>
      <c r="R102" s="466"/>
      <c r="S102" s="466"/>
      <c r="T102" s="466"/>
      <c r="U102" s="466"/>
      <c r="V102" s="466"/>
    </row>
    <row r="103" spans="1:22" x14ac:dyDescent="0.2">
      <c r="A103" s="466"/>
      <c r="B103" s="530">
        <f t="shared" si="10"/>
        <v>86</v>
      </c>
      <c r="C103" s="546">
        <f t="shared" si="7"/>
        <v>74118.749855499453</v>
      </c>
      <c r="D103" s="546">
        <f t="shared" si="11"/>
        <v>49108.753352010077</v>
      </c>
      <c r="E103" s="546">
        <f>IF(B103="","-",SUM($D$18:D103))</f>
        <v>4495323.9682266656</v>
      </c>
      <c r="F103" s="546">
        <f t="shared" si="8"/>
        <v>25009.996503489376</v>
      </c>
      <c r="G103" s="546">
        <f>IF(B103="","-",SUM($F$18:F103))</f>
        <v>1136985.0970483082</v>
      </c>
      <c r="H103" s="546">
        <f t="shared" si="9"/>
        <v>12381411.902951688</v>
      </c>
      <c r="I103" s="465"/>
      <c r="J103" s="466"/>
      <c r="K103" s="466"/>
      <c r="M103" s="466"/>
      <c r="N103" s="466"/>
      <c r="O103" s="466"/>
      <c r="P103" s="466"/>
      <c r="Q103" s="466"/>
      <c r="R103" s="466"/>
      <c r="S103" s="466"/>
      <c r="T103" s="466"/>
      <c r="U103" s="466"/>
      <c r="V103" s="466"/>
    </row>
    <row r="104" spans="1:22" x14ac:dyDescent="0.2">
      <c r="A104" s="466"/>
      <c r="B104" s="530">
        <f t="shared" si="10"/>
        <v>87</v>
      </c>
      <c r="C104" s="546">
        <f t="shared" si="7"/>
        <v>74118.749855499453</v>
      </c>
      <c r="D104" s="546">
        <f t="shared" si="11"/>
        <v>49009.755449183765</v>
      </c>
      <c r="E104" s="546">
        <f>IF(B104="","-",SUM($D$18:D104))</f>
        <v>4544333.7236758498</v>
      </c>
      <c r="F104" s="546">
        <f t="shared" si="8"/>
        <v>25108.994406315687</v>
      </c>
      <c r="G104" s="546">
        <f>IF(B104="","-",SUM($F$18:F104))</f>
        <v>1162094.091454624</v>
      </c>
      <c r="H104" s="546">
        <f t="shared" si="9"/>
        <v>12356302.908545371</v>
      </c>
      <c r="I104" s="465"/>
      <c r="J104" s="466"/>
      <c r="K104" s="466"/>
      <c r="M104" s="466"/>
      <c r="N104" s="466"/>
      <c r="O104" s="466"/>
      <c r="P104" s="466"/>
      <c r="Q104" s="466"/>
      <c r="R104" s="466"/>
      <c r="S104" s="466"/>
      <c r="T104" s="466"/>
      <c r="U104" s="466"/>
      <c r="V104" s="466"/>
    </row>
    <row r="105" spans="1:22" x14ac:dyDescent="0.2">
      <c r="A105" s="466"/>
      <c r="B105" s="530">
        <f t="shared" si="10"/>
        <v>88</v>
      </c>
      <c r="C105" s="546">
        <f t="shared" si="7"/>
        <v>74118.749855499453</v>
      </c>
      <c r="D105" s="546">
        <f t="shared" si="11"/>
        <v>48910.365679658767</v>
      </c>
      <c r="E105" s="546">
        <f>IF(B105="","-",SUM($D$18:D105))</f>
        <v>4593244.0893555088</v>
      </c>
      <c r="F105" s="546">
        <f t="shared" si="8"/>
        <v>25208.384175840685</v>
      </c>
      <c r="G105" s="546">
        <f>IF(B105="","-",SUM($F$18:F105))</f>
        <v>1187302.4756304647</v>
      </c>
      <c r="H105" s="546">
        <f t="shared" si="9"/>
        <v>12331094.52436953</v>
      </c>
      <c r="I105" s="465"/>
      <c r="J105" s="466"/>
      <c r="K105" s="466"/>
      <c r="M105" s="466"/>
      <c r="N105" s="466"/>
      <c r="O105" s="466"/>
      <c r="P105" s="466"/>
      <c r="Q105" s="466"/>
      <c r="R105" s="466"/>
      <c r="S105" s="466"/>
      <c r="T105" s="466"/>
      <c r="U105" s="466"/>
      <c r="V105" s="466"/>
    </row>
    <row r="106" spans="1:22" x14ac:dyDescent="0.2">
      <c r="A106" s="466"/>
      <c r="B106" s="530">
        <f t="shared" si="10"/>
        <v>89</v>
      </c>
      <c r="C106" s="546">
        <f t="shared" si="7"/>
        <v>74118.749855499453</v>
      </c>
      <c r="D106" s="546">
        <f t="shared" si="11"/>
        <v>48810.58249229606</v>
      </c>
      <c r="E106" s="546">
        <f>IF(B106="","-",SUM($D$18:D106))</f>
        <v>4642054.6718478044</v>
      </c>
      <c r="F106" s="546">
        <f t="shared" si="8"/>
        <v>25308.167363203393</v>
      </c>
      <c r="G106" s="546">
        <f>IF(B106="","-",SUM($F$18:F106))</f>
        <v>1212610.6429936681</v>
      </c>
      <c r="H106" s="546">
        <f t="shared" si="9"/>
        <v>12305786.357006326</v>
      </c>
      <c r="I106" s="465"/>
      <c r="J106" s="466"/>
      <c r="K106" s="466"/>
      <c r="M106" s="466"/>
      <c r="N106" s="466"/>
      <c r="O106" s="466"/>
      <c r="P106" s="466"/>
      <c r="Q106" s="466"/>
      <c r="R106" s="466"/>
      <c r="S106" s="466"/>
      <c r="T106" s="466"/>
      <c r="U106" s="466"/>
      <c r="V106" s="466"/>
    </row>
    <row r="107" spans="1:22" x14ac:dyDescent="0.2">
      <c r="A107" s="466"/>
      <c r="B107" s="530">
        <f t="shared" si="10"/>
        <v>90</v>
      </c>
      <c r="C107" s="546">
        <f t="shared" si="7"/>
        <v>74118.749855499453</v>
      </c>
      <c r="D107" s="546">
        <f t="shared" si="11"/>
        <v>48710.404329816709</v>
      </c>
      <c r="E107" s="546">
        <f>IF(B107="","-",SUM($D$18:D107))</f>
        <v>4690765.0761776213</v>
      </c>
      <c r="F107" s="546">
        <f t="shared" si="8"/>
        <v>25408.345525682744</v>
      </c>
      <c r="G107" s="546">
        <f>IF(B107="","-",SUM($F$18:F107))</f>
        <v>1238018.9885193508</v>
      </c>
      <c r="H107" s="546">
        <f t="shared" si="9"/>
        <v>12280378.011480644</v>
      </c>
      <c r="I107" s="465"/>
      <c r="J107" s="466"/>
      <c r="K107" s="466"/>
      <c r="M107" s="466"/>
      <c r="N107" s="466"/>
      <c r="O107" s="466"/>
      <c r="P107" s="466"/>
      <c r="Q107" s="466"/>
      <c r="R107" s="466"/>
      <c r="S107" s="466"/>
      <c r="T107" s="466"/>
      <c r="U107" s="466"/>
      <c r="V107" s="466"/>
    </row>
    <row r="108" spans="1:22" x14ac:dyDescent="0.2">
      <c r="A108" s="466"/>
      <c r="B108" s="530">
        <f t="shared" si="10"/>
        <v>91</v>
      </c>
      <c r="C108" s="546">
        <f t="shared" si="7"/>
        <v>74118.749855499453</v>
      </c>
      <c r="D108" s="546">
        <f t="shared" si="11"/>
        <v>48609.829628777552</v>
      </c>
      <c r="E108" s="546">
        <f>IF(B108="","-",SUM($D$18:D108))</f>
        <v>4739374.905806399</v>
      </c>
      <c r="F108" s="546">
        <f t="shared" si="8"/>
        <v>25508.920226721901</v>
      </c>
      <c r="G108" s="546">
        <f>IF(B108="","-",SUM($F$18:F108))</f>
        <v>1263527.9087460726</v>
      </c>
      <c r="H108" s="546">
        <f t="shared" si="9"/>
        <v>12254869.091253923</v>
      </c>
      <c r="I108" s="465"/>
      <c r="J108" s="466"/>
      <c r="K108" s="466"/>
      <c r="M108" s="466"/>
      <c r="N108" s="466"/>
      <c r="O108" s="466"/>
      <c r="P108" s="466"/>
      <c r="Q108" s="466"/>
      <c r="R108" s="466"/>
      <c r="S108" s="466"/>
      <c r="T108" s="466"/>
      <c r="U108" s="466"/>
      <c r="V108" s="466"/>
    </row>
    <row r="109" spans="1:22" x14ac:dyDescent="0.2">
      <c r="A109" s="466"/>
      <c r="B109" s="530">
        <f t="shared" si="10"/>
        <v>92</v>
      </c>
      <c r="C109" s="546">
        <f t="shared" si="7"/>
        <v>74118.749855499453</v>
      </c>
      <c r="D109" s="546">
        <f t="shared" si="11"/>
        <v>48508.856819546781</v>
      </c>
      <c r="E109" s="546">
        <f>IF(B109="","-",SUM($D$18:D109))</f>
        <v>4787883.7626259457</v>
      </c>
      <c r="F109" s="546">
        <f t="shared" si="8"/>
        <v>25609.893035952671</v>
      </c>
      <c r="G109" s="546">
        <f>IF(B109="","-",SUM($F$18:F109))</f>
        <v>1289137.8017820253</v>
      </c>
      <c r="H109" s="546">
        <f t="shared" si="9"/>
        <v>12229259.198217971</v>
      </c>
      <c r="I109" s="465"/>
      <c r="J109" s="466"/>
      <c r="K109" s="466"/>
      <c r="M109" s="466"/>
      <c r="N109" s="466"/>
      <c r="O109" s="466"/>
      <c r="P109" s="466"/>
      <c r="Q109" s="466"/>
      <c r="R109" s="466"/>
      <c r="S109" s="466"/>
      <c r="T109" s="466"/>
      <c r="U109" s="466"/>
      <c r="V109" s="466"/>
    </row>
    <row r="110" spans="1:22" x14ac:dyDescent="0.2">
      <c r="A110" s="466"/>
      <c r="B110" s="530">
        <f t="shared" si="10"/>
        <v>93</v>
      </c>
      <c r="C110" s="546">
        <f t="shared" si="7"/>
        <v>74118.749855499453</v>
      </c>
      <c r="D110" s="546">
        <f t="shared" si="11"/>
        <v>48407.484326279475</v>
      </c>
      <c r="E110" s="546">
        <f>IF(B110="","-",SUM($D$18:D110))</f>
        <v>4836291.2469522255</v>
      </c>
      <c r="F110" s="546">
        <f t="shared" si="8"/>
        <v>25711.265529219978</v>
      </c>
      <c r="G110" s="546">
        <f>IF(B110="","-",SUM($F$18:F110))</f>
        <v>1314849.0673112452</v>
      </c>
      <c r="H110" s="546">
        <f t="shared" si="9"/>
        <v>12203547.932688752</v>
      </c>
      <c r="I110" s="465"/>
      <c r="J110" s="466"/>
      <c r="K110" s="466"/>
      <c r="M110" s="466"/>
      <c r="N110" s="466"/>
      <c r="O110" s="466"/>
      <c r="P110" s="466"/>
      <c r="Q110" s="466"/>
      <c r="R110" s="466"/>
      <c r="S110" s="466"/>
      <c r="T110" s="466"/>
      <c r="U110" s="466"/>
      <c r="V110" s="466"/>
    </row>
    <row r="111" spans="1:22" x14ac:dyDescent="0.2">
      <c r="A111" s="466"/>
      <c r="B111" s="530">
        <f t="shared" si="10"/>
        <v>94</v>
      </c>
      <c r="C111" s="546">
        <f t="shared" si="7"/>
        <v>74118.749855499453</v>
      </c>
      <c r="D111" s="546">
        <f t="shared" si="11"/>
        <v>48305.71056689298</v>
      </c>
      <c r="E111" s="546">
        <f>IF(B111="","-",SUM($D$18:D111))</f>
        <v>4884596.9575191187</v>
      </c>
      <c r="F111" s="546">
        <f t="shared" si="8"/>
        <v>25813.039288606473</v>
      </c>
      <c r="G111" s="546">
        <f>IF(B111="","-",SUM($F$18:F111))</f>
        <v>1340662.1065998517</v>
      </c>
      <c r="H111" s="546">
        <f t="shared" si="9"/>
        <v>12177734.893400146</v>
      </c>
      <c r="I111" s="465"/>
      <c r="J111" s="466"/>
      <c r="K111" s="466"/>
      <c r="M111" s="466"/>
      <c r="N111" s="466"/>
      <c r="O111" s="466"/>
      <c r="P111" s="466"/>
      <c r="Q111" s="466"/>
      <c r="R111" s="466"/>
      <c r="S111" s="466"/>
      <c r="T111" s="466"/>
      <c r="U111" s="466"/>
      <c r="V111" s="466"/>
    </row>
    <row r="112" spans="1:22" x14ac:dyDescent="0.2">
      <c r="A112" s="466"/>
      <c r="B112" s="530">
        <f t="shared" si="10"/>
        <v>95</v>
      </c>
      <c r="C112" s="546">
        <f t="shared" si="7"/>
        <v>74118.749855499453</v>
      </c>
      <c r="D112" s="546">
        <f t="shared" si="11"/>
        <v>48203.53395304225</v>
      </c>
      <c r="E112" s="546">
        <f>IF(B112="","-",SUM($D$18:D112))</f>
        <v>4932800.4914721614</v>
      </c>
      <c r="F112" s="546">
        <f t="shared" si="8"/>
        <v>25915.215902457203</v>
      </c>
      <c r="G112" s="546">
        <f>IF(B112="","-",SUM($F$18:F112))</f>
        <v>1366577.322502309</v>
      </c>
      <c r="H112" s="546">
        <f t="shared" si="9"/>
        <v>12151819.677497689</v>
      </c>
      <c r="I112" s="465"/>
      <c r="J112" s="466"/>
      <c r="K112" s="466"/>
      <c r="M112" s="466"/>
      <c r="N112" s="466"/>
      <c r="O112" s="466"/>
      <c r="P112" s="466"/>
      <c r="Q112" s="466"/>
      <c r="R112" s="466"/>
      <c r="S112" s="466"/>
      <c r="T112" s="466"/>
      <c r="U112" s="466"/>
      <c r="V112" s="466"/>
    </row>
    <row r="113" spans="1:22" x14ac:dyDescent="0.2">
      <c r="A113" s="466"/>
      <c r="B113" s="548">
        <f t="shared" si="10"/>
        <v>96</v>
      </c>
      <c r="C113" s="549">
        <f t="shared" si="7"/>
        <v>74118.749855499453</v>
      </c>
      <c r="D113" s="549">
        <f t="shared" si="11"/>
        <v>48100.952890095024</v>
      </c>
      <c r="E113" s="551">
        <f>IF(B113="","-",SUM($D$18:D113))</f>
        <v>4980901.4443622567</v>
      </c>
      <c r="F113" s="551">
        <f t="shared" si="8"/>
        <v>26017.796965404428</v>
      </c>
      <c r="G113" s="551">
        <f>IF(B113="","-",SUM($F$18:F113))</f>
        <v>1392595.1194677134</v>
      </c>
      <c r="H113" s="551">
        <f t="shared" si="9"/>
        <v>12125801.880532283</v>
      </c>
      <c r="I113" s="489"/>
      <c r="J113" s="466"/>
      <c r="K113" s="466"/>
      <c r="M113" s="466"/>
      <c r="N113" s="466"/>
      <c r="O113" s="466"/>
      <c r="P113" s="466"/>
      <c r="Q113" s="466"/>
      <c r="R113" s="466"/>
      <c r="S113" s="466"/>
      <c r="T113" s="466"/>
      <c r="U113" s="466"/>
      <c r="V113" s="466"/>
    </row>
    <row r="114" spans="1:22" x14ac:dyDescent="0.2">
      <c r="A114" s="466"/>
      <c r="B114" s="530">
        <f t="shared" si="10"/>
        <v>97</v>
      </c>
      <c r="C114" s="546">
        <f t="shared" si="7"/>
        <v>74118.749855499453</v>
      </c>
      <c r="D114" s="546">
        <f t="shared" si="11"/>
        <v>47997.965777106961</v>
      </c>
      <c r="E114" s="546">
        <f>IF(B114="","-",SUM($D$18:D114))</f>
        <v>5028899.4101393633</v>
      </c>
      <c r="F114" s="546">
        <f t="shared" si="8"/>
        <v>26120.784078392491</v>
      </c>
      <c r="G114" s="546">
        <f>IF(B114="","-",SUM($F$18:F114))</f>
        <v>1418715.9035461058</v>
      </c>
      <c r="H114" s="546">
        <f t="shared" si="9"/>
        <v>12099681.09645389</v>
      </c>
      <c r="I114" s="472"/>
      <c r="J114" s="466"/>
      <c r="K114" s="466"/>
      <c r="M114" s="466"/>
      <c r="N114" s="466"/>
      <c r="O114" s="466"/>
      <c r="P114" s="466"/>
      <c r="Q114" s="466"/>
      <c r="R114" s="466"/>
      <c r="S114" s="466"/>
      <c r="T114" s="466"/>
      <c r="U114" s="466"/>
      <c r="V114" s="466"/>
    </row>
    <row r="115" spans="1:22" x14ac:dyDescent="0.2">
      <c r="A115" s="466"/>
      <c r="B115" s="530">
        <f t="shared" si="10"/>
        <v>98</v>
      </c>
      <c r="C115" s="546">
        <f t="shared" si="7"/>
        <v>74118.749855499453</v>
      </c>
      <c r="D115" s="546">
        <f t="shared" si="11"/>
        <v>47894.57100679665</v>
      </c>
      <c r="E115" s="546">
        <f>IF(B115="","-",SUM($D$18:D115))</f>
        <v>5076793.9811461596</v>
      </c>
      <c r="F115" s="546">
        <f t="shared" si="8"/>
        <v>26224.178848702802</v>
      </c>
      <c r="G115" s="546">
        <f>IF(B115="","-",SUM($F$18:F115))</f>
        <v>1444940.0823948085</v>
      </c>
      <c r="H115" s="546">
        <f t="shared" si="9"/>
        <v>12073456.917605188</v>
      </c>
      <c r="I115" s="465"/>
      <c r="J115" s="466"/>
      <c r="K115" s="466"/>
      <c r="M115" s="466"/>
      <c r="N115" s="466"/>
      <c r="O115" s="466"/>
      <c r="P115" s="466"/>
      <c r="Q115" s="466"/>
      <c r="R115" s="466"/>
      <c r="S115" s="466"/>
      <c r="T115" s="466"/>
      <c r="U115" s="466"/>
      <c r="V115" s="466"/>
    </row>
    <row r="116" spans="1:22" x14ac:dyDescent="0.2">
      <c r="A116" s="466"/>
      <c r="B116" s="530">
        <f t="shared" si="10"/>
        <v>99</v>
      </c>
      <c r="C116" s="546">
        <f t="shared" si="7"/>
        <v>74118.749855499453</v>
      </c>
      <c r="D116" s="546">
        <f t="shared" si="11"/>
        <v>47790.766965520539</v>
      </c>
      <c r="E116" s="546">
        <f>IF(B116="","-",SUM($D$18:D116))</f>
        <v>5124584.7481116802</v>
      </c>
      <c r="F116" s="546">
        <f t="shared" si="8"/>
        <v>26327.982889978914</v>
      </c>
      <c r="G116" s="546">
        <f>IF(B116="","-",SUM($F$18:F116))</f>
        <v>1471268.0652847874</v>
      </c>
      <c r="H116" s="546">
        <f t="shared" si="9"/>
        <v>12047128.93471521</v>
      </c>
      <c r="I116" s="465"/>
      <c r="J116" s="466"/>
      <c r="K116" s="466"/>
      <c r="M116" s="466"/>
      <c r="N116" s="466"/>
      <c r="O116" s="466"/>
      <c r="P116" s="466"/>
      <c r="Q116" s="466"/>
      <c r="R116" s="466"/>
      <c r="S116" s="466"/>
      <c r="T116" s="466"/>
      <c r="U116" s="466"/>
      <c r="V116" s="466"/>
    </row>
    <row r="117" spans="1:22" x14ac:dyDescent="0.2">
      <c r="A117" s="466"/>
      <c r="B117" s="530">
        <f t="shared" si="10"/>
        <v>100</v>
      </c>
      <c r="C117" s="546">
        <f t="shared" si="7"/>
        <v>74118.749855499453</v>
      </c>
      <c r="D117" s="546">
        <f t="shared" si="11"/>
        <v>47686.55203324771</v>
      </c>
      <c r="E117" s="546">
        <f>IF(B117="","-",SUM($D$18:D117))</f>
        <v>5172271.3001449276</v>
      </c>
      <c r="F117" s="546">
        <f t="shared" si="8"/>
        <v>26432.197822251743</v>
      </c>
      <c r="G117" s="546">
        <f>IF(B117="","-",SUM($F$18:F117))</f>
        <v>1497700.2631070393</v>
      </c>
      <c r="H117" s="546">
        <f t="shared" si="9"/>
        <v>12020696.736892957</v>
      </c>
      <c r="I117" s="465"/>
      <c r="J117" s="466"/>
      <c r="K117" s="466"/>
      <c r="M117" s="466"/>
      <c r="N117" s="466"/>
      <c r="O117" s="466"/>
      <c r="P117" s="466"/>
      <c r="Q117" s="466"/>
      <c r="R117" s="466"/>
      <c r="S117" s="466"/>
      <c r="T117" s="466"/>
      <c r="U117" s="466"/>
      <c r="V117" s="466"/>
    </row>
    <row r="118" spans="1:22" x14ac:dyDescent="0.2">
      <c r="A118" s="466"/>
      <c r="B118" s="530">
        <f t="shared" si="10"/>
        <v>101</v>
      </c>
      <c r="C118" s="546">
        <f t="shared" si="7"/>
        <v>74118.749855499453</v>
      </c>
      <c r="D118" s="546">
        <f t="shared" si="11"/>
        <v>47581.92458353463</v>
      </c>
      <c r="E118" s="546">
        <f>IF(B118="","-",SUM($D$18:D118))</f>
        <v>5219853.2247284623</v>
      </c>
      <c r="F118" s="546">
        <f t="shared" si="8"/>
        <v>26536.825271964823</v>
      </c>
      <c r="G118" s="546">
        <f>IF(B118="","-",SUM($F$18:F118))</f>
        <v>1524237.088379004</v>
      </c>
      <c r="H118" s="546">
        <f t="shared" si="9"/>
        <v>11994159.911620993</v>
      </c>
      <c r="I118" s="465"/>
      <c r="J118" s="466"/>
      <c r="K118" s="466"/>
      <c r="M118" s="466"/>
      <c r="N118" s="466"/>
      <c r="O118" s="466"/>
      <c r="P118" s="466"/>
      <c r="Q118" s="466"/>
      <c r="R118" s="466"/>
      <c r="S118" s="466"/>
      <c r="T118" s="466"/>
      <c r="U118" s="466"/>
      <c r="V118" s="466"/>
    </row>
    <row r="119" spans="1:22" x14ac:dyDescent="0.2">
      <c r="A119" s="466"/>
      <c r="B119" s="530">
        <f t="shared" si="10"/>
        <v>102</v>
      </c>
      <c r="C119" s="546">
        <f t="shared" si="7"/>
        <v>74118.749855499453</v>
      </c>
      <c r="D119" s="546">
        <f t="shared" si="11"/>
        <v>47476.882983499767</v>
      </c>
      <c r="E119" s="546">
        <f>IF(B119="","-",SUM($D$18:D119))</f>
        <v>5267330.1077119624</v>
      </c>
      <c r="F119" s="546">
        <f t="shared" si="8"/>
        <v>26641.866871999686</v>
      </c>
      <c r="G119" s="546">
        <f>IF(B119="","-",SUM($F$18:F119))</f>
        <v>1550878.9552510036</v>
      </c>
      <c r="H119" s="546">
        <f t="shared" si="9"/>
        <v>11967518.044748994</v>
      </c>
      <c r="I119" s="465"/>
      <c r="J119" s="466"/>
      <c r="K119" s="466"/>
      <c r="M119" s="466"/>
      <c r="N119" s="466"/>
      <c r="O119" s="466"/>
      <c r="P119" s="466"/>
      <c r="Q119" s="466"/>
      <c r="R119" s="466"/>
      <c r="S119" s="466"/>
      <c r="T119" s="466"/>
      <c r="U119" s="466"/>
      <c r="V119" s="466"/>
    </row>
    <row r="120" spans="1:22" x14ac:dyDescent="0.2">
      <c r="A120" s="466"/>
      <c r="B120" s="530">
        <f t="shared" si="10"/>
        <v>103</v>
      </c>
      <c r="C120" s="546">
        <f t="shared" si="7"/>
        <v>74118.749855499453</v>
      </c>
      <c r="D120" s="546">
        <f t="shared" si="11"/>
        <v>47371.425593798107</v>
      </c>
      <c r="E120" s="546">
        <f>IF(B120="","-",SUM($D$18:D120))</f>
        <v>5314701.5333057605</v>
      </c>
      <c r="F120" s="546">
        <f t="shared" si="8"/>
        <v>26747.324261701346</v>
      </c>
      <c r="G120" s="546">
        <f>IF(B120="","-",SUM($F$18:F120))</f>
        <v>1577626.279512705</v>
      </c>
      <c r="H120" s="546">
        <f t="shared" si="9"/>
        <v>11940770.720487293</v>
      </c>
      <c r="I120" s="465"/>
      <c r="J120" s="466"/>
      <c r="K120" s="466"/>
      <c r="M120" s="466"/>
      <c r="N120" s="466"/>
      <c r="O120" s="466"/>
      <c r="P120" s="466"/>
      <c r="Q120" s="466"/>
      <c r="R120" s="466"/>
      <c r="S120" s="466"/>
      <c r="T120" s="466"/>
      <c r="U120" s="466"/>
      <c r="V120" s="466"/>
    </row>
    <row r="121" spans="1:22" x14ac:dyDescent="0.2">
      <c r="A121" s="466"/>
      <c r="B121" s="530">
        <f t="shared" si="10"/>
        <v>104</v>
      </c>
      <c r="C121" s="546">
        <f t="shared" si="7"/>
        <v>74118.749855499453</v>
      </c>
      <c r="D121" s="546">
        <f t="shared" si="11"/>
        <v>47265.550768595538</v>
      </c>
      <c r="E121" s="546">
        <f>IF(B121="","-",SUM($D$18:D121))</f>
        <v>5361967.0840743557</v>
      </c>
      <c r="F121" s="546">
        <f t="shared" si="8"/>
        <v>26853.199086903915</v>
      </c>
      <c r="G121" s="546">
        <f>IF(B121="","-",SUM($F$18:F121))</f>
        <v>1604479.4785996089</v>
      </c>
      <c r="H121" s="546">
        <f t="shared" si="9"/>
        <v>11913917.521400388</v>
      </c>
      <c r="I121" s="465"/>
      <c r="J121" s="466"/>
      <c r="K121" s="466"/>
      <c r="M121" s="466"/>
      <c r="N121" s="466"/>
      <c r="O121" s="466"/>
      <c r="P121" s="466"/>
      <c r="Q121" s="466"/>
      <c r="R121" s="466"/>
      <c r="S121" s="466"/>
      <c r="T121" s="466"/>
      <c r="U121" s="466"/>
      <c r="V121" s="466"/>
    </row>
    <row r="122" spans="1:22" x14ac:dyDescent="0.2">
      <c r="A122" s="466"/>
      <c r="B122" s="530">
        <f t="shared" si="10"/>
        <v>105</v>
      </c>
      <c r="C122" s="546">
        <f t="shared" si="7"/>
        <v>74118.749855499453</v>
      </c>
      <c r="D122" s="546">
        <f t="shared" si="11"/>
        <v>47159.256855543208</v>
      </c>
      <c r="E122" s="546">
        <f>IF(B122="","-",SUM($D$18:D122))</f>
        <v>5409126.3409298984</v>
      </c>
      <c r="F122" s="546">
        <f t="shared" si="8"/>
        <v>26959.492999956245</v>
      </c>
      <c r="G122" s="546">
        <f>IF(B122="","-",SUM($F$18:F122))</f>
        <v>1631438.9715995651</v>
      </c>
      <c r="H122" s="546">
        <f t="shared" si="9"/>
        <v>11886958.028400432</v>
      </c>
      <c r="I122" s="465"/>
      <c r="J122" s="466"/>
      <c r="K122" s="466"/>
      <c r="M122" s="466"/>
      <c r="N122" s="466"/>
      <c r="O122" s="466"/>
      <c r="P122" s="466"/>
      <c r="Q122" s="466"/>
      <c r="R122" s="466"/>
      <c r="S122" s="466"/>
      <c r="T122" s="466"/>
      <c r="U122" s="466"/>
      <c r="V122" s="466"/>
    </row>
    <row r="123" spans="1:22" x14ac:dyDescent="0.2">
      <c r="A123" s="466"/>
      <c r="B123" s="530">
        <f t="shared" si="10"/>
        <v>106</v>
      </c>
      <c r="C123" s="546">
        <f t="shared" si="7"/>
        <v>74118.749855499453</v>
      </c>
      <c r="D123" s="546">
        <f t="shared" si="11"/>
        <v>47052.542195751717</v>
      </c>
      <c r="E123" s="546">
        <f>IF(B123="","-",SUM($D$18:D123))</f>
        <v>5456178.8831256498</v>
      </c>
      <c r="F123" s="546">
        <f t="shared" si="8"/>
        <v>27066.207659747735</v>
      </c>
      <c r="G123" s="546">
        <f>IF(B123="","-",SUM($F$18:F123))</f>
        <v>1658505.1792593128</v>
      </c>
      <c r="H123" s="546">
        <f t="shared" si="9"/>
        <v>11859891.820740685</v>
      </c>
      <c r="I123" s="465"/>
      <c r="J123" s="466"/>
      <c r="K123" s="466"/>
      <c r="M123" s="466"/>
      <c r="N123" s="466"/>
      <c r="O123" s="466"/>
      <c r="P123" s="466"/>
      <c r="Q123" s="466"/>
      <c r="R123" s="466"/>
      <c r="S123" s="466"/>
      <c r="T123" s="466"/>
      <c r="U123" s="466"/>
      <c r="V123" s="466"/>
    </row>
    <row r="124" spans="1:22" x14ac:dyDescent="0.2">
      <c r="A124" s="466"/>
      <c r="B124" s="530">
        <f t="shared" si="10"/>
        <v>107</v>
      </c>
      <c r="C124" s="546">
        <f t="shared" si="7"/>
        <v>74118.749855499453</v>
      </c>
      <c r="D124" s="546">
        <f t="shared" si="11"/>
        <v>46945.405123765217</v>
      </c>
      <c r="E124" s="546">
        <f>IF(B124="","-",SUM($D$18:D124))</f>
        <v>5503124.2882494153</v>
      </c>
      <c r="F124" s="546">
        <f t="shared" si="8"/>
        <v>27173.344731734236</v>
      </c>
      <c r="G124" s="546">
        <f>IF(B124="","-",SUM($F$18:F124))</f>
        <v>1685678.5239910469</v>
      </c>
      <c r="H124" s="546">
        <f t="shared" si="9"/>
        <v>11832718.47600895</v>
      </c>
      <c r="I124" s="465"/>
      <c r="J124" s="466"/>
      <c r="K124" s="466"/>
      <c r="M124" s="466"/>
      <c r="N124" s="466"/>
      <c r="O124" s="466"/>
      <c r="P124" s="466"/>
      <c r="Q124" s="466"/>
      <c r="R124" s="466"/>
      <c r="S124" s="466"/>
      <c r="T124" s="466"/>
      <c r="U124" s="466"/>
      <c r="V124" s="466"/>
    </row>
    <row r="125" spans="1:22" x14ac:dyDescent="0.2">
      <c r="A125" s="466"/>
      <c r="B125" s="548">
        <f t="shared" si="10"/>
        <v>108</v>
      </c>
      <c r="C125" s="549">
        <f t="shared" si="7"/>
        <v>74118.749855499453</v>
      </c>
      <c r="D125" s="549">
        <f t="shared" si="11"/>
        <v>46837.843967535431</v>
      </c>
      <c r="E125" s="551">
        <f>IF(B125="","-",SUM($D$18:D125))</f>
        <v>5549962.1322169509</v>
      </c>
      <c r="F125" s="551">
        <f t="shared" si="8"/>
        <v>27280.905887964022</v>
      </c>
      <c r="G125" s="551">
        <f>IF(B125="","-",SUM($F$18:F125))</f>
        <v>1712959.4298790109</v>
      </c>
      <c r="H125" s="551">
        <f t="shared" si="9"/>
        <v>11805437.570120987</v>
      </c>
      <c r="I125" s="489"/>
      <c r="J125" s="466"/>
      <c r="K125" s="466"/>
      <c r="M125" s="466"/>
      <c r="N125" s="466"/>
      <c r="O125" s="466"/>
      <c r="P125" s="466"/>
      <c r="Q125" s="466"/>
      <c r="R125" s="466"/>
      <c r="S125" s="466"/>
      <c r="T125" s="466"/>
      <c r="U125" s="466"/>
      <c r="V125" s="466"/>
    </row>
    <row r="126" spans="1:22" x14ac:dyDescent="0.2">
      <c r="A126" s="466"/>
      <c r="B126" s="530">
        <f t="shared" si="10"/>
        <v>109</v>
      </c>
      <c r="C126" s="546">
        <f t="shared" si="7"/>
        <v>74118.749855499453</v>
      </c>
      <c r="D126" s="546">
        <f t="shared" si="11"/>
        <v>46729.857048395577</v>
      </c>
      <c r="E126" s="546">
        <f>IF(B126="","-",SUM($D$18:D126))</f>
        <v>5596691.9892653469</v>
      </c>
      <c r="F126" s="546">
        <f t="shared" si="8"/>
        <v>27388.892807103875</v>
      </c>
      <c r="G126" s="546">
        <f>IF(B126="","-",SUM($F$18:F126))</f>
        <v>1740348.3226861148</v>
      </c>
      <c r="H126" s="546">
        <f t="shared" si="9"/>
        <v>11778048.677313883</v>
      </c>
      <c r="I126" s="465"/>
      <c r="J126" s="466"/>
      <c r="K126" s="466"/>
      <c r="M126" s="466"/>
      <c r="N126" s="466"/>
      <c r="O126" s="466"/>
      <c r="P126" s="466"/>
      <c r="Q126" s="466"/>
      <c r="R126" s="466"/>
      <c r="S126" s="466"/>
      <c r="T126" s="466"/>
      <c r="U126" s="466"/>
      <c r="V126" s="466"/>
    </row>
    <row r="127" spans="1:22" x14ac:dyDescent="0.2">
      <c r="A127" s="466"/>
      <c r="B127" s="530">
        <f t="shared" si="10"/>
        <v>110</v>
      </c>
      <c r="C127" s="546">
        <f t="shared" si="7"/>
        <v>74118.749855499453</v>
      </c>
      <c r="D127" s="546">
        <f t="shared" si="11"/>
        <v>46621.442681034125</v>
      </c>
      <c r="E127" s="546">
        <f>IF(B127="","-",SUM($D$18:D127))</f>
        <v>5643313.431946381</v>
      </c>
      <c r="F127" s="546">
        <f t="shared" si="8"/>
        <v>27497.307174465328</v>
      </c>
      <c r="G127" s="546">
        <f>IF(B127="","-",SUM($F$18:F127))</f>
        <v>1767845.6298605802</v>
      </c>
      <c r="H127" s="546">
        <f t="shared" si="9"/>
        <v>11750551.370139418</v>
      </c>
      <c r="I127" s="465"/>
      <c r="J127" s="466"/>
      <c r="K127" s="466"/>
      <c r="M127" s="466"/>
      <c r="N127" s="466"/>
      <c r="O127" s="466"/>
      <c r="P127" s="466"/>
      <c r="Q127" s="466"/>
      <c r="R127" s="466"/>
      <c r="S127" s="466"/>
      <c r="T127" s="466"/>
      <c r="U127" s="466"/>
      <c r="V127" s="466"/>
    </row>
    <row r="128" spans="1:22" x14ac:dyDescent="0.2">
      <c r="A128" s="466"/>
      <c r="B128" s="530">
        <f t="shared" si="10"/>
        <v>111</v>
      </c>
      <c r="C128" s="546">
        <f t="shared" si="7"/>
        <v>74118.749855499453</v>
      </c>
      <c r="D128" s="546">
        <f t="shared" si="11"/>
        <v>46512.599173468538</v>
      </c>
      <c r="E128" s="546">
        <f>IF(B128="","-",SUM($D$18:D128))</f>
        <v>5689826.0311198495</v>
      </c>
      <c r="F128" s="546">
        <f t="shared" si="8"/>
        <v>27606.150682030915</v>
      </c>
      <c r="G128" s="546">
        <f>IF(B128="","-",SUM($F$18:F128))</f>
        <v>1795451.7805426111</v>
      </c>
      <c r="H128" s="546">
        <f t="shared" si="9"/>
        <v>11722945.219457388</v>
      </c>
      <c r="I128" s="465"/>
      <c r="J128" s="466"/>
      <c r="K128" s="466"/>
      <c r="M128" s="466"/>
      <c r="N128" s="466"/>
      <c r="O128" s="466"/>
      <c r="P128" s="466"/>
      <c r="Q128" s="466"/>
      <c r="R128" s="466"/>
      <c r="S128" s="466"/>
      <c r="T128" s="466"/>
      <c r="U128" s="466"/>
      <c r="V128" s="466"/>
    </row>
    <row r="129" spans="1:22" x14ac:dyDescent="0.2">
      <c r="A129" s="466"/>
      <c r="B129" s="530">
        <f t="shared" si="10"/>
        <v>112</v>
      </c>
      <c r="C129" s="546">
        <f t="shared" si="7"/>
        <v>74118.749855499453</v>
      </c>
      <c r="D129" s="546">
        <f t="shared" si="11"/>
        <v>46403.324827018834</v>
      </c>
      <c r="E129" s="546">
        <f>IF(B129="","-",SUM($D$18:D129))</f>
        <v>5736229.3559468687</v>
      </c>
      <c r="F129" s="546">
        <f t="shared" si="8"/>
        <v>27715.425028480618</v>
      </c>
      <c r="G129" s="546">
        <f>IF(B129="","-",SUM($F$18:F129))</f>
        <v>1823167.2055710917</v>
      </c>
      <c r="H129" s="546">
        <f t="shared" si="9"/>
        <v>11695229.794428907</v>
      </c>
      <c r="I129" s="465"/>
      <c r="J129" s="466"/>
      <c r="K129" s="466"/>
      <c r="M129" s="466"/>
      <c r="N129" s="466"/>
      <c r="O129" s="466"/>
      <c r="P129" s="466"/>
      <c r="Q129" s="466"/>
      <c r="R129" s="466"/>
      <c r="S129" s="466"/>
      <c r="T129" s="466"/>
      <c r="U129" s="466"/>
      <c r="V129" s="466"/>
    </row>
    <row r="130" spans="1:22" x14ac:dyDescent="0.2">
      <c r="A130" s="466"/>
      <c r="B130" s="530">
        <f t="shared" si="10"/>
        <v>113</v>
      </c>
      <c r="C130" s="546">
        <f t="shared" si="7"/>
        <v>74118.749855499453</v>
      </c>
      <c r="D130" s="546">
        <f t="shared" si="11"/>
        <v>46293.617936281094</v>
      </c>
      <c r="E130" s="546">
        <f>IF(B130="","-",SUM($D$18:D130))</f>
        <v>5782522.9738831501</v>
      </c>
      <c r="F130" s="546">
        <f t="shared" si="8"/>
        <v>27825.131919218358</v>
      </c>
      <c r="G130" s="546">
        <f>IF(B130="","-",SUM($F$18:F130))</f>
        <v>1850992.3374903102</v>
      </c>
      <c r="H130" s="546">
        <f t="shared" si="9"/>
        <v>11667404.662509689</v>
      </c>
      <c r="I130" s="465"/>
      <c r="J130" s="466"/>
      <c r="K130" s="466"/>
      <c r="M130" s="466"/>
      <c r="N130" s="466"/>
      <c r="O130" s="466"/>
      <c r="P130" s="466"/>
      <c r="Q130" s="466"/>
      <c r="R130" s="466"/>
      <c r="S130" s="466"/>
      <c r="T130" s="466"/>
      <c r="U130" s="466"/>
      <c r="V130" s="466"/>
    </row>
    <row r="131" spans="1:22" x14ac:dyDescent="0.2">
      <c r="A131" s="466"/>
      <c r="B131" s="530">
        <f t="shared" si="10"/>
        <v>114</v>
      </c>
      <c r="C131" s="546">
        <f t="shared" si="7"/>
        <v>74118.749855499453</v>
      </c>
      <c r="D131" s="546">
        <f t="shared" si="11"/>
        <v>46183.47678910086</v>
      </c>
      <c r="E131" s="546">
        <f>IF(B131="","-",SUM($D$18:D131))</f>
        <v>5828706.4506722512</v>
      </c>
      <c r="F131" s="546">
        <f t="shared" si="8"/>
        <v>27935.273066398593</v>
      </c>
      <c r="G131" s="546">
        <f>IF(B131="","-",SUM($F$18:F131))</f>
        <v>1878927.6105567089</v>
      </c>
      <c r="H131" s="546">
        <f t="shared" si="9"/>
        <v>11639469.389443291</v>
      </c>
      <c r="I131" s="465"/>
      <c r="J131" s="466"/>
      <c r="K131" s="466"/>
      <c r="M131" s="466"/>
      <c r="N131" s="466"/>
      <c r="O131" s="466"/>
      <c r="P131" s="466"/>
      <c r="Q131" s="466"/>
      <c r="R131" s="466"/>
      <c r="S131" s="466"/>
      <c r="T131" s="466"/>
      <c r="U131" s="466"/>
      <c r="V131" s="466"/>
    </row>
    <row r="132" spans="1:22" x14ac:dyDescent="0.2">
      <c r="A132" s="466"/>
      <c r="B132" s="530">
        <f t="shared" si="10"/>
        <v>115</v>
      </c>
      <c r="C132" s="546">
        <f t="shared" si="7"/>
        <v>74118.749855499453</v>
      </c>
      <c r="D132" s="546">
        <f t="shared" si="11"/>
        <v>46072.899666546364</v>
      </c>
      <c r="E132" s="546">
        <f>IF(B132="","-",SUM($D$18:D132))</f>
        <v>5874779.3503387971</v>
      </c>
      <c r="F132" s="546">
        <f t="shared" si="8"/>
        <v>28045.850188953089</v>
      </c>
      <c r="G132" s="546">
        <f>IF(B132="","-",SUM($F$18:F132))</f>
        <v>1906973.460745662</v>
      </c>
      <c r="H132" s="546">
        <f t="shared" si="9"/>
        <v>11611423.539254338</v>
      </c>
      <c r="I132" s="465"/>
      <c r="J132" s="466"/>
      <c r="K132" s="466"/>
      <c r="M132" s="466"/>
      <c r="N132" s="466"/>
      <c r="O132" s="466"/>
      <c r="P132" s="466"/>
      <c r="Q132" s="466"/>
      <c r="R132" s="466"/>
      <c r="S132" s="466"/>
      <c r="T132" s="466"/>
      <c r="U132" s="466"/>
      <c r="V132" s="466"/>
    </row>
    <row r="133" spans="1:22" x14ac:dyDescent="0.2">
      <c r="A133" s="466"/>
      <c r="B133" s="530">
        <f t="shared" si="10"/>
        <v>116</v>
      </c>
      <c r="C133" s="546">
        <f t="shared" si="7"/>
        <v>74118.749855499453</v>
      </c>
      <c r="D133" s="546">
        <f t="shared" si="11"/>
        <v>45961.884842881758</v>
      </c>
      <c r="E133" s="546">
        <f>IF(B133="","-",SUM($D$18:D133))</f>
        <v>5920741.235181679</v>
      </c>
      <c r="F133" s="546">
        <f t="shared" si="8"/>
        <v>28156.865012617694</v>
      </c>
      <c r="G133" s="546">
        <f>IF(B133="","-",SUM($F$18:F133))</f>
        <v>1935130.3257582798</v>
      </c>
      <c r="H133" s="546">
        <f t="shared" si="9"/>
        <v>11583266.67424172</v>
      </c>
      <c r="I133" s="465"/>
      <c r="J133" s="466"/>
      <c r="K133" s="466"/>
      <c r="M133" s="466"/>
      <c r="N133" s="466"/>
      <c r="O133" s="466"/>
      <c r="P133" s="466"/>
      <c r="Q133" s="466"/>
      <c r="R133" s="466"/>
      <c r="S133" s="466"/>
      <c r="T133" s="466"/>
      <c r="U133" s="466"/>
      <c r="V133" s="466"/>
    </row>
    <row r="134" spans="1:22" x14ac:dyDescent="0.2">
      <c r="A134" s="466"/>
      <c r="B134" s="530">
        <f t="shared" si="10"/>
        <v>117</v>
      </c>
      <c r="C134" s="546">
        <f t="shared" si="7"/>
        <v>74118.749855499453</v>
      </c>
      <c r="D134" s="546">
        <f t="shared" si="11"/>
        <v>45850.430585540147</v>
      </c>
      <c r="E134" s="546">
        <f>IF(B134="","-",SUM($D$18:D134))</f>
        <v>5966591.6657672189</v>
      </c>
      <c r="F134" s="546">
        <f t="shared" si="8"/>
        <v>28268.319269959306</v>
      </c>
      <c r="G134" s="546">
        <f>IF(B134="","-",SUM($F$18:F134))</f>
        <v>1963398.6450282391</v>
      </c>
      <c r="H134" s="546">
        <f t="shared" si="9"/>
        <v>11554998.354971761</v>
      </c>
      <c r="I134" s="465"/>
      <c r="J134" s="466"/>
      <c r="K134" s="466"/>
      <c r="M134" s="466"/>
      <c r="N134" s="466"/>
      <c r="O134" s="466"/>
      <c r="P134" s="466"/>
      <c r="Q134" s="466"/>
      <c r="R134" s="466"/>
      <c r="S134" s="466"/>
      <c r="T134" s="466"/>
      <c r="U134" s="466"/>
      <c r="V134" s="466"/>
    </row>
    <row r="135" spans="1:22" x14ac:dyDescent="0.2">
      <c r="A135" s="466"/>
      <c r="B135" s="530">
        <f t="shared" si="10"/>
        <v>118</v>
      </c>
      <c r="C135" s="546">
        <f t="shared" si="7"/>
        <v>74118.749855499453</v>
      </c>
      <c r="D135" s="546">
        <f t="shared" si="11"/>
        <v>45738.535155096557</v>
      </c>
      <c r="E135" s="546">
        <f>IF(B135="","-",SUM($D$18:D135))</f>
        <v>6012330.2009223159</v>
      </c>
      <c r="F135" s="546">
        <f t="shared" si="8"/>
        <v>28380.214700402896</v>
      </c>
      <c r="G135" s="546">
        <f>IF(B135="","-",SUM($F$18:F135))</f>
        <v>1991778.859728642</v>
      </c>
      <c r="H135" s="546">
        <f t="shared" si="9"/>
        <v>11526618.140271358</v>
      </c>
      <c r="I135" s="465"/>
      <c r="J135" s="466"/>
      <c r="K135" s="466"/>
      <c r="M135" s="466"/>
      <c r="N135" s="466"/>
      <c r="O135" s="466"/>
      <c r="P135" s="466"/>
      <c r="Q135" s="466"/>
      <c r="R135" s="466"/>
      <c r="S135" s="466"/>
      <c r="T135" s="466"/>
      <c r="U135" s="466"/>
      <c r="V135" s="466"/>
    </row>
    <row r="136" spans="1:22" x14ac:dyDescent="0.2">
      <c r="A136" s="466"/>
      <c r="B136" s="530">
        <f t="shared" si="10"/>
        <v>119</v>
      </c>
      <c r="C136" s="546">
        <f t="shared" si="7"/>
        <v>74118.749855499453</v>
      </c>
      <c r="D136" s="546">
        <f t="shared" si="11"/>
        <v>45626.196805240797</v>
      </c>
      <c r="E136" s="546">
        <f>IF(B136="","-",SUM($D$18:D136))</f>
        <v>6057956.3977275565</v>
      </c>
      <c r="F136" s="546">
        <f t="shared" si="8"/>
        <v>28492.553050258655</v>
      </c>
      <c r="G136" s="546">
        <f>IF(B136="","-",SUM($F$18:F136))</f>
        <v>2020271.4127789007</v>
      </c>
      <c r="H136" s="546">
        <f t="shared" si="9"/>
        <v>11498125.587221099</v>
      </c>
      <c r="I136" s="465"/>
      <c r="J136" s="466"/>
      <c r="K136" s="466"/>
      <c r="M136" s="466"/>
      <c r="N136" s="466"/>
      <c r="O136" s="466"/>
      <c r="P136" s="466"/>
      <c r="Q136" s="466"/>
      <c r="R136" s="466"/>
      <c r="S136" s="466"/>
      <c r="T136" s="466"/>
      <c r="U136" s="466"/>
      <c r="V136" s="466"/>
    </row>
    <row r="137" spans="1:22" x14ac:dyDescent="0.2">
      <c r="A137" s="466"/>
      <c r="B137" s="548">
        <f t="shared" si="10"/>
        <v>120</v>
      </c>
      <c r="C137" s="549">
        <f t="shared" si="7"/>
        <v>74118.749855499453</v>
      </c>
      <c r="D137" s="549">
        <f t="shared" si="11"/>
        <v>45513.413782750191</v>
      </c>
      <c r="E137" s="551">
        <f>IF(B137="","-",SUM($D$18:D137))</f>
        <v>6103469.8115103068</v>
      </c>
      <c r="F137" s="551">
        <f t="shared" si="8"/>
        <v>28605.336072749262</v>
      </c>
      <c r="G137" s="551">
        <f>IF(B137="","-",SUM($F$18:F137))</f>
        <v>2048876.7488516499</v>
      </c>
      <c r="H137" s="551">
        <f t="shared" si="9"/>
        <v>11469520.251148351</v>
      </c>
      <c r="I137" s="489"/>
      <c r="J137" s="466"/>
      <c r="K137" s="466"/>
      <c r="M137" s="466"/>
      <c r="N137" s="466"/>
      <c r="O137" s="466"/>
      <c r="P137" s="466"/>
      <c r="Q137" s="466"/>
      <c r="R137" s="466"/>
      <c r="S137" s="466"/>
      <c r="T137" s="466"/>
      <c r="U137" s="466"/>
      <c r="V137" s="466"/>
    </row>
    <row r="138" spans="1:22" x14ac:dyDescent="0.2">
      <c r="A138" s="466"/>
      <c r="B138" s="530">
        <f t="shared" si="10"/>
        <v>121</v>
      </c>
      <c r="C138" s="546">
        <f t="shared" si="7"/>
        <v>74118.749855499453</v>
      </c>
      <c r="D138" s="546">
        <f t="shared" si="11"/>
        <v>45400.184327462222</v>
      </c>
      <c r="E138" s="546">
        <f>IF(B138="","-",SUM($D$18:D138))</f>
        <v>6148869.9958377685</v>
      </c>
      <c r="F138" s="546">
        <f t="shared" si="8"/>
        <v>28718.56552803723</v>
      </c>
      <c r="G138" s="546">
        <f>IF(B138="","-",SUM($F$18:F138))</f>
        <v>2077595.3143796872</v>
      </c>
      <c r="H138" s="546">
        <f t="shared" si="9"/>
        <v>11440801.685620314</v>
      </c>
      <c r="I138" s="465"/>
      <c r="J138" s="466"/>
      <c r="K138" s="466"/>
      <c r="M138" s="466"/>
      <c r="N138" s="466"/>
      <c r="O138" s="466"/>
      <c r="P138" s="466"/>
      <c r="Q138" s="466"/>
      <c r="R138" s="466"/>
      <c r="S138" s="466"/>
      <c r="T138" s="466"/>
      <c r="U138" s="466"/>
      <c r="V138" s="466"/>
    </row>
    <row r="139" spans="1:22" x14ac:dyDescent="0.2">
      <c r="A139" s="466"/>
      <c r="B139" s="530">
        <f t="shared" si="10"/>
        <v>122</v>
      </c>
      <c r="C139" s="546">
        <f t="shared" si="7"/>
        <v>74118.749855499453</v>
      </c>
      <c r="D139" s="546">
        <f t="shared" si="11"/>
        <v>45286.50667224708</v>
      </c>
      <c r="E139" s="546">
        <f>IF(B139="","-",SUM($D$18:D139))</f>
        <v>6194156.5025100159</v>
      </c>
      <c r="F139" s="546">
        <f t="shared" si="8"/>
        <v>28832.243183252373</v>
      </c>
      <c r="G139" s="546">
        <f>IF(B139="","-",SUM($F$18:F139))</f>
        <v>2106427.5575629394</v>
      </c>
      <c r="H139" s="546">
        <f t="shared" si="9"/>
        <v>11411969.442437062</v>
      </c>
      <c r="I139" s="465"/>
      <c r="J139" s="466"/>
      <c r="K139" s="466"/>
      <c r="M139" s="466"/>
      <c r="N139" s="466"/>
      <c r="O139" s="466"/>
      <c r="P139" s="466"/>
      <c r="Q139" s="466"/>
      <c r="R139" s="466"/>
      <c r="S139" s="466"/>
      <c r="T139" s="466"/>
      <c r="U139" s="466"/>
      <c r="V139" s="466"/>
    </row>
    <row r="140" spans="1:22" x14ac:dyDescent="0.2">
      <c r="A140" s="466"/>
      <c r="B140" s="530">
        <f t="shared" si="10"/>
        <v>123</v>
      </c>
      <c r="C140" s="546">
        <f t="shared" si="7"/>
        <v>74118.749855499453</v>
      </c>
      <c r="D140" s="546">
        <f t="shared" si="11"/>
        <v>45172.379042980043</v>
      </c>
      <c r="E140" s="546">
        <f>IF(B140="","-",SUM($D$18:D140))</f>
        <v>6239328.8815529961</v>
      </c>
      <c r="F140" s="546">
        <f t="shared" si="8"/>
        <v>28946.37081251941</v>
      </c>
      <c r="G140" s="546">
        <f>IF(B140="","-",SUM($F$18:F140))</f>
        <v>2135373.9283754588</v>
      </c>
      <c r="H140" s="546">
        <f t="shared" si="9"/>
        <v>11383023.071624544</v>
      </c>
      <c r="I140" s="465"/>
      <c r="J140" s="466"/>
      <c r="K140" s="466"/>
      <c r="M140" s="466"/>
      <c r="N140" s="466"/>
      <c r="O140" s="466"/>
      <c r="P140" s="466"/>
      <c r="Q140" s="466"/>
      <c r="R140" s="466"/>
      <c r="S140" s="466"/>
      <c r="T140" s="466"/>
      <c r="U140" s="466"/>
      <c r="V140" s="466"/>
    </row>
    <row r="141" spans="1:22" x14ac:dyDescent="0.2">
      <c r="A141" s="466"/>
      <c r="B141" s="530">
        <f t="shared" si="10"/>
        <v>124</v>
      </c>
      <c r="C141" s="546">
        <f t="shared" si="7"/>
        <v>74118.749855499453</v>
      </c>
      <c r="D141" s="546">
        <f t="shared" si="11"/>
        <v>45057.799658513824</v>
      </c>
      <c r="E141" s="546">
        <f>IF(B141="","-",SUM($D$18:D141))</f>
        <v>6284386.6812115097</v>
      </c>
      <c r="F141" s="546">
        <f t="shared" si="8"/>
        <v>29060.950196985628</v>
      </c>
      <c r="G141" s="546">
        <f>IF(B141="","-",SUM($F$18:F141))</f>
        <v>2164434.8785724444</v>
      </c>
      <c r="H141" s="546">
        <f t="shared" si="9"/>
        <v>11353962.121427558</v>
      </c>
      <c r="I141" s="465"/>
      <c r="J141" s="466"/>
      <c r="K141" s="466"/>
      <c r="M141" s="466"/>
      <c r="N141" s="466"/>
      <c r="O141" s="466"/>
      <c r="P141" s="466"/>
      <c r="Q141" s="466"/>
      <c r="R141" s="466"/>
      <c r="S141" s="466"/>
      <c r="T141" s="466"/>
      <c r="U141" s="466"/>
      <c r="V141" s="466"/>
    </row>
    <row r="142" spans="1:22" x14ac:dyDescent="0.2">
      <c r="A142" s="466"/>
      <c r="B142" s="530">
        <f t="shared" si="10"/>
        <v>125</v>
      </c>
      <c r="C142" s="546">
        <f t="shared" si="7"/>
        <v>74118.749855499453</v>
      </c>
      <c r="D142" s="546">
        <f t="shared" si="11"/>
        <v>44942.766730650757</v>
      </c>
      <c r="E142" s="546">
        <f>IF(B142="","-",SUM($D$18:D142))</f>
        <v>6329329.4479421601</v>
      </c>
      <c r="F142" s="546">
        <f t="shared" si="8"/>
        <v>29175.983124848695</v>
      </c>
      <c r="G142" s="546">
        <f>IF(B142="","-",SUM($F$18:F142))</f>
        <v>2193610.8616972934</v>
      </c>
      <c r="H142" s="546">
        <f t="shared" si="9"/>
        <v>11324786.13830271</v>
      </c>
      <c r="I142" s="465"/>
      <c r="J142" s="466"/>
      <c r="K142" s="466"/>
      <c r="M142" s="466"/>
      <c r="N142" s="466"/>
      <c r="O142" s="466"/>
      <c r="P142" s="466"/>
      <c r="Q142" s="466"/>
      <c r="R142" s="466"/>
      <c r="S142" s="466"/>
      <c r="T142" s="466"/>
      <c r="U142" s="466"/>
      <c r="V142" s="466"/>
    </row>
    <row r="143" spans="1:22" x14ac:dyDescent="0.2">
      <c r="A143" s="466"/>
      <c r="B143" s="530">
        <f t="shared" si="10"/>
        <v>126</v>
      </c>
      <c r="C143" s="546">
        <f t="shared" si="7"/>
        <v>74118.749855499453</v>
      </c>
      <c r="D143" s="546">
        <f t="shared" si="11"/>
        <v>44827.278464114897</v>
      </c>
      <c r="E143" s="546">
        <f>IF(B143="","-",SUM($D$18:D143))</f>
        <v>6374156.7264062753</v>
      </c>
      <c r="F143" s="546">
        <f t="shared" si="8"/>
        <v>29291.471391384555</v>
      </c>
      <c r="G143" s="546">
        <f>IF(B143="","-",SUM($F$18:F143))</f>
        <v>2222902.3330886778</v>
      </c>
      <c r="H143" s="546">
        <f t="shared" si="9"/>
        <v>11295494.666911324</v>
      </c>
      <c r="I143" s="465"/>
      <c r="J143" s="466"/>
      <c r="K143" s="466"/>
      <c r="M143" s="466"/>
      <c r="N143" s="466"/>
      <c r="O143" s="466"/>
      <c r="P143" s="466"/>
      <c r="Q143" s="466"/>
      <c r="R143" s="466"/>
      <c r="S143" s="466"/>
      <c r="T143" s="466"/>
      <c r="U143" s="466"/>
      <c r="V143" s="466"/>
    </row>
    <row r="144" spans="1:22" x14ac:dyDescent="0.2">
      <c r="A144" s="466"/>
      <c r="B144" s="530">
        <f t="shared" si="10"/>
        <v>127</v>
      </c>
      <c r="C144" s="546">
        <f t="shared" si="7"/>
        <v>74118.749855499453</v>
      </c>
      <c r="D144" s="546">
        <f t="shared" si="11"/>
        <v>44711.333056523996</v>
      </c>
      <c r="E144" s="546">
        <f>IF(B144="","-",SUM($D$18:D144))</f>
        <v>6418868.0594627997</v>
      </c>
      <c r="F144" s="546">
        <f t="shared" si="8"/>
        <v>29407.416798975457</v>
      </c>
      <c r="G144" s="546">
        <f>IF(B144="","-",SUM($F$18:F144))</f>
        <v>2252309.7498876532</v>
      </c>
      <c r="H144" s="546">
        <f t="shared" si="9"/>
        <v>11266087.250112349</v>
      </c>
      <c r="I144" s="465"/>
      <c r="J144" s="466"/>
      <c r="K144" s="466"/>
      <c r="M144" s="466"/>
      <c r="N144" s="466"/>
      <c r="O144" s="466"/>
      <c r="P144" s="466"/>
      <c r="Q144" s="466"/>
      <c r="R144" s="466"/>
      <c r="S144" s="466"/>
      <c r="T144" s="466"/>
      <c r="U144" s="466"/>
      <c r="V144" s="466"/>
    </row>
    <row r="145" spans="1:22" x14ac:dyDescent="0.2">
      <c r="A145" s="466"/>
      <c r="B145" s="530">
        <f t="shared" si="10"/>
        <v>128</v>
      </c>
      <c r="C145" s="546">
        <f t="shared" si="7"/>
        <v>74118.749855499453</v>
      </c>
      <c r="D145" s="546">
        <f t="shared" si="11"/>
        <v>44594.928698361386</v>
      </c>
      <c r="E145" s="546">
        <f>IF(B145="","-",SUM($D$18:D145))</f>
        <v>6463462.9881611615</v>
      </c>
      <c r="F145" s="546">
        <f t="shared" si="8"/>
        <v>29523.821157138067</v>
      </c>
      <c r="G145" s="546">
        <f>IF(B145="","-",SUM($F$18:F145))</f>
        <v>2281833.571044791</v>
      </c>
      <c r="H145" s="546">
        <f t="shared" si="9"/>
        <v>11236563.42895521</v>
      </c>
      <c r="I145" s="465"/>
      <c r="J145" s="466"/>
      <c r="K145" s="466"/>
      <c r="M145" s="466"/>
      <c r="N145" s="466"/>
      <c r="O145" s="466"/>
      <c r="P145" s="466"/>
      <c r="Q145" s="466"/>
      <c r="R145" s="466"/>
      <c r="S145" s="466"/>
      <c r="T145" s="466"/>
      <c r="U145" s="466"/>
      <c r="V145" s="466"/>
    </row>
    <row r="146" spans="1:22" x14ac:dyDescent="0.2">
      <c r="A146" s="466"/>
      <c r="B146" s="530">
        <f t="shared" si="10"/>
        <v>129</v>
      </c>
      <c r="C146" s="546">
        <f t="shared" ref="C146:C209" si="12">IF(B146="","-",IF(B146&lt;=$D$6,D146,  $D$7))</f>
        <v>74118.749855499453</v>
      </c>
      <c r="D146" s="546">
        <f t="shared" si="11"/>
        <v>44478.063572947714</v>
      </c>
      <c r="E146" s="546">
        <f>IF(B146="","-",SUM($D$18:D146))</f>
        <v>6507941.0517341094</v>
      </c>
      <c r="F146" s="546">
        <f t="shared" ref="F146:F209" si="13">IF(B146="","-",C146-D146)</f>
        <v>29640.686282551738</v>
      </c>
      <c r="G146" s="546">
        <f>IF(B146="","-",SUM($F$18:F146))</f>
        <v>2311474.2573273429</v>
      </c>
      <c r="H146" s="546">
        <f t="shared" ref="H146:H209" si="14">IF(B146="","-",H145-F146)</f>
        <v>11206922.742672659</v>
      </c>
      <c r="I146" s="465"/>
      <c r="J146" s="466"/>
      <c r="K146" s="466"/>
      <c r="M146" s="466"/>
      <c r="N146" s="466"/>
      <c r="O146" s="466"/>
      <c r="P146" s="466"/>
      <c r="Q146" s="466"/>
      <c r="R146" s="466"/>
      <c r="S146" s="466"/>
      <c r="T146" s="466"/>
      <c r="U146" s="466"/>
      <c r="V146" s="466"/>
    </row>
    <row r="147" spans="1:22" x14ac:dyDescent="0.2">
      <c r="A147" s="466"/>
      <c r="B147" s="530">
        <f t="shared" ref="B147:B210" si="15">IF(B146&gt;=$D$5*12,"",B146+1)</f>
        <v>130</v>
      </c>
      <c r="C147" s="546">
        <f t="shared" si="12"/>
        <v>74118.749855499453</v>
      </c>
      <c r="D147" s="546">
        <f t="shared" ref="D147:D210" si="16">IF(B147="","-",$D$4/12*H146)</f>
        <v>44360.735856412612</v>
      </c>
      <c r="E147" s="546">
        <f>IF(B147="","-",SUM($D$18:D147))</f>
        <v>6552301.7875905223</v>
      </c>
      <c r="F147" s="546">
        <f t="shared" si="13"/>
        <v>29758.013999086841</v>
      </c>
      <c r="G147" s="546">
        <f>IF(B147="","-",SUM($F$18:F147))</f>
        <v>2341232.2713264297</v>
      </c>
      <c r="H147" s="546">
        <f t="shared" si="14"/>
        <v>11177164.728673572</v>
      </c>
      <c r="I147" s="465"/>
      <c r="J147" s="466"/>
      <c r="K147" s="466"/>
      <c r="M147" s="466"/>
      <c r="N147" s="466"/>
      <c r="O147" s="466"/>
      <c r="P147" s="466"/>
      <c r="Q147" s="466"/>
      <c r="R147" s="466"/>
      <c r="S147" s="466"/>
      <c r="T147" s="466"/>
      <c r="U147" s="466"/>
      <c r="V147" s="466"/>
    </row>
    <row r="148" spans="1:22" x14ac:dyDescent="0.2">
      <c r="A148" s="466"/>
      <c r="B148" s="530">
        <f t="shared" si="15"/>
        <v>131</v>
      </c>
      <c r="C148" s="546">
        <f t="shared" si="12"/>
        <v>74118.749855499453</v>
      </c>
      <c r="D148" s="546">
        <f t="shared" si="16"/>
        <v>44242.943717666225</v>
      </c>
      <c r="E148" s="546">
        <f>IF(B148="","-",SUM($D$18:D148))</f>
        <v>6596544.7313081883</v>
      </c>
      <c r="F148" s="546">
        <f t="shared" si="13"/>
        <v>29875.806137833228</v>
      </c>
      <c r="G148" s="546">
        <f>IF(B148="","-",SUM($F$18:F148))</f>
        <v>2371108.077464263</v>
      </c>
      <c r="H148" s="546">
        <f t="shared" si="14"/>
        <v>11147288.922535738</v>
      </c>
      <c r="I148" s="465"/>
      <c r="J148" s="466"/>
      <c r="K148" s="466"/>
      <c r="M148" s="466"/>
      <c r="N148" s="466"/>
      <c r="O148" s="466"/>
      <c r="P148" s="466"/>
      <c r="Q148" s="466"/>
      <c r="R148" s="466"/>
      <c r="S148" s="466"/>
      <c r="T148" s="466"/>
      <c r="U148" s="466"/>
      <c r="V148" s="466"/>
    </row>
    <row r="149" spans="1:22" x14ac:dyDescent="0.2">
      <c r="A149" s="466"/>
      <c r="B149" s="530">
        <f t="shared" si="15"/>
        <v>132</v>
      </c>
      <c r="C149" s="549">
        <f t="shared" si="12"/>
        <v>74118.749855499453</v>
      </c>
      <c r="D149" s="546">
        <f t="shared" si="16"/>
        <v>44124.685318370633</v>
      </c>
      <c r="E149" s="546">
        <f>IF(B149="","-",SUM($D$18:D149))</f>
        <v>6640669.4166265586</v>
      </c>
      <c r="F149" s="546">
        <f t="shared" si="13"/>
        <v>29994.064537128819</v>
      </c>
      <c r="G149" s="546">
        <f>IF(B149="","-",SUM($F$18:F149))</f>
        <v>2401102.1420013919</v>
      </c>
      <c r="H149" s="546">
        <f t="shared" si="14"/>
        <v>11117294.85799861</v>
      </c>
      <c r="I149" s="465"/>
      <c r="J149" s="466"/>
      <c r="K149" s="466"/>
      <c r="M149" s="466"/>
      <c r="N149" s="466"/>
      <c r="O149" s="466"/>
      <c r="P149" s="466"/>
      <c r="Q149" s="466"/>
      <c r="R149" s="466"/>
      <c r="S149" s="466"/>
      <c r="T149" s="466"/>
      <c r="U149" s="466"/>
      <c r="V149" s="466"/>
    </row>
    <row r="150" spans="1:22" x14ac:dyDescent="0.2">
      <c r="A150" s="466"/>
      <c r="B150" s="530">
        <f t="shared" si="15"/>
        <v>133</v>
      </c>
      <c r="C150" s="546">
        <f t="shared" si="12"/>
        <v>74118.749855499453</v>
      </c>
      <c r="D150" s="546">
        <f t="shared" si="16"/>
        <v>44005.958812911165</v>
      </c>
      <c r="E150" s="546">
        <f>IF(B150="","-",SUM($D$18:D150))</f>
        <v>6684675.3754394697</v>
      </c>
      <c r="F150" s="546">
        <f t="shared" si="13"/>
        <v>30112.791042588287</v>
      </c>
      <c r="G150" s="546">
        <f>IF(B150="","-",SUM($F$18:F150))</f>
        <v>2431214.93304398</v>
      </c>
      <c r="H150" s="546">
        <f t="shared" si="14"/>
        <v>11087182.066956021</v>
      </c>
      <c r="I150" s="465"/>
      <c r="J150" s="466"/>
      <c r="K150" s="466"/>
      <c r="M150" s="466"/>
      <c r="N150" s="466"/>
      <c r="O150" s="466"/>
      <c r="P150" s="466"/>
      <c r="Q150" s="466"/>
      <c r="R150" s="466"/>
      <c r="S150" s="466"/>
      <c r="T150" s="466"/>
      <c r="U150" s="466"/>
      <c r="V150" s="466"/>
    </row>
    <row r="151" spans="1:22" x14ac:dyDescent="0.2">
      <c r="A151" s="466"/>
      <c r="B151" s="530">
        <f t="shared" si="15"/>
        <v>134</v>
      </c>
      <c r="C151" s="546">
        <f t="shared" si="12"/>
        <v>74118.749855499453</v>
      </c>
      <c r="D151" s="546">
        <f t="shared" si="16"/>
        <v>43886.762348367585</v>
      </c>
      <c r="E151" s="546">
        <f>IF(B151="","-",SUM($D$18:D151))</f>
        <v>6728562.1377878375</v>
      </c>
      <c r="F151" s="546">
        <f t="shared" si="13"/>
        <v>30231.987507131867</v>
      </c>
      <c r="G151" s="546">
        <f>IF(B151="","-",SUM($F$18:F151))</f>
        <v>2461446.9205511119</v>
      </c>
      <c r="H151" s="546">
        <f t="shared" si="14"/>
        <v>11056950.07944889</v>
      </c>
      <c r="I151" s="465"/>
      <c r="J151" s="466"/>
      <c r="K151" s="466"/>
      <c r="M151" s="466"/>
      <c r="N151" s="466"/>
      <c r="O151" s="466"/>
      <c r="P151" s="466"/>
      <c r="Q151" s="466"/>
      <c r="R151" s="466"/>
      <c r="S151" s="466"/>
      <c r="T151" s="466"/>
      <c r="U151" s="466"/>
      <c r="V151" s="466"/>
    </row>
    <row r="152" spans="1:22" x14ac:dyDescent="0.2">
      <c r="A152" s="466"/>
      <c r="B152" s="530">
        <f t="shared" si="15"/>
        <v>135</v>
      </c>
      <c r="C152" s="546">
        <f t="shared" si="12"/>
        <v>74118.749855499453</v>
      </c>
      <c r="D152" s="546">
        <f t="shared" si="16"/>
        <v>43767.094064485194</v>
      </c>
      <c r="E152" s="546">
        <f>IF(B152="","-",SUM($D$18:D152))</f>
        <v>6772329.2318523228</v>
      </c>
      <c r="F152" s="546">
        <f t="shared" si="13"/>
        <v>30351.655791014258</v>
      </c>
      <c r="G152" s="546">
        <f>IF(B152="","-",SUM($F$18:F152))</f>
        <v>2491798.5763421264</v>
      </c>
      <c r="H152" s="546">
        <f t="shared" si="14"/>
        <v>11026598.423657876</v>
      </c>
      <c r="I152" s="465"/>
      <c r="J152" s="466"/>
      <c r="K152" s="466"/>
      <c r="M152" s="466"/>
      <c r="N152" s="466"/>
      <c r="O152" s="466"/>
      <c r="P152" s="466"/>
      <c r="Q152" s="466"/>
      <c r="R152" s="466"/>
      <c r="S152" s="466"/>
      <c r="T152" s="466"/>
      <c r="U152" s="466"/>
      <c r="V152" s="466"/>
    </row>
    <row r="153" spans="1:22" x14ac:dyDescent="0.2">
      <c r="A153" s="466"/>
      <c r="B153" s="530">
        <f t="shared" si="15"/>
        <v>136</v>
      </c>
      <c r="C153" s="546">
        <f t="shared" si="12"/>
        <v>74118.749855499453</v>
      </c>
      <c r="D153" s="546">
        <f t="shared" si="16"/>
        <v>43646.952093645763</v>
      </c>
      <c r="E153" s="546">
        <f>IF(B153="","-",SUM($D$18:D153))</f>
        <v>6815976.1839459687</v>
      </c>
      <c r="F153" s="546">
        <f t="shared" si="13"/>
        <v>30471.79776185369</v>
      </c>
      <c r="G153" s="546">
        <f>IF(B153="","-",SUM($F$18:F153))</f>
        <v>2522270.3741039801</v>
      </c>
      <c r="H153" s="546">
        <f t="shared" si="14"/>
        <v>10996126.625896022</v>
      </c>
      <c r="I153" s="465"/>
      <c r="J153" s="466"/>
      <c r="K153" s="466"/>
      <c r="M153" s="466"/>
      <c r="N153" s="466"/>
      <c r="O153" s="466"/>
      <c r="P153" s="466"/>
      <c r="Q153" s="466"/>
      <c r="R153" s="466"/>
      <c r="S153" s="466"/>
      <c r="T153" s="466"/>
      <c r="U153" s="466"/>
      <c r="V153" s="466"/>
    </row>
    <row r="154" spans="1:22" x14ac:dyDescent="0.2">
      <c r="A154" s="466"/>
      <c r="B154" s="530">
        <f t="shared" si="15"/>
        <v>137</v>
      </c>
      <c r="C154" s="546">
        <f t="shared" si="12"/>
        <v>74118.749855499453</v>
      </c>
      <c r="D154" s="546">
        <f t="shared" si="16"/>
        <v>43526.334560838426</v>
      </c>
      <c r="E154" s="546">
        <f>IF(B154="","-",SUM($D$18:D154))</f>
        <v>6859502.5185068073</v>
      </c>
      <c r="F154" s="546">
        <f t="shared" si="13"/>
        <v>30592.415294661027</v>
      </c>
      <c r="G154" s="546">
        <f>IF(B154="","-",SUM($F$18:F154))</f>
        <v>2552862.7893986413</v>
      </c>
      <c r="H154" s="546">
        <f t="shared" si="14"/>
        <v>10965534.210601361</v>
      </c>
      <c r="I154" s="465"/>
      <c r="J154" s="466"/>
      <c r="K154" s="466"/>
      <c r="M154" s="466"/>
      <c r="N154" s="466"/>
      <c r="O154" s="466"/>
      <c r="P154" s="466"/>
      <c r="Q154" s="466"/>
      <c r="R154" s="466"/>
      <c r="S154" s="466"/>
      <c r="T154" s="466"/>
      <c r="U154" s="466"/>
      <c r="V154" s="466"/>
    </row>
    <row r="155" spans="1:22" x14ac:dyDescent="0.2">
      <c r="A155" s="466"/>
      <c r="B155" s="530">
        <f t="shared" si="15"/>
        <v>138</v>
      </c>
      <c r="C155" s="546">
        <f t="shared" si="12"/>
        <v>74118.749855499453</v>
      </c>
      <c r="D155" s="546">
        <f t="shared" si="16"/>
        <v>43405.239583630391</v>
      </c>
      <c r="E155" s="546">
        <f>IF(B155="","-",SUM($D$18:D155))</f>
        <v>6902907.7580904374</v>
      </c>
      <c r="F155" s="546">
        <f t="shared" si="13"/>
        <v>30713.510271869061</v>
      </c>
      <c r="G155" s="546">
        <f>IF(B155="","-",SUM($F$18:F155))</f>
        <v>2583576.2996705105</v>
      </c>
      <c r="H155" s="546">
        <f t="shared" si="14"/>
        <v>10934820.700329492</v>
      </c>
      <c r="I155" s="465"/>
      <c r="J155" s="466"/>
      <c r="K155" s="466"/>
      <c r="M155" s="466"/>
      <c r="N155" s="466"/>
      <c r="O155" s="466"/>
      <c r="P155" s="466"/>
      <c r="Q155" s="466"/>
      <c r="R155" s="466"/>
      <c r="S155" s="466"/>
      <c r="T155" s="466"/>
      <c r="U155" s="466"/>
      <c r="V155" s="466"/>
    </row>
    <row r="156" spans="1:22" x14ac:dyDescent="0.2">
      <c r="A156" s="466"/>
      <c r="B156" s="530">
        <f t="shared" si="15"/>
        <v>139</v>
      </c>
      <c r="C156" s="546">
        <f t="shared" si="12"/>
        <v>74118.749855499453</v>
      </c>
      <c r="D156" s="546">
        <f t="shared" si="16"/>
        <v>43283.665272137572</v>
      </c>
      <c r="E156" s="546">
        <f>IF(B156="","-",SUM($D$18:D156))</f>
        <v>6946191.4233625745</v>
      </c>
      <c r="F156" s="546">
        <f t="shared" si="13"/>
        <v>30835.084583361881</v>
      </c>
      <c r="G156" s="546">
        <f>IF(B156="","-",SUM($F$18:F156))</f>
        <v>2614411.3842538726</v>
      </c>
      <c r="H156" s="546">
        <f t="shared" si="14"/>
        <v>10903985.615746129</v>
      </c>
      <c r="I156" s="465"/>
      <c r="J156" s="466"/>
      <c r="K156" s="466"/>
      <c r="M156" s="466"/>
      <c r="N156" s="466"/>
      <c r="O156" s="466"/>
      <c r="P156" s="466"/>
      <c r="Q156" s="466"/>
      <c r="R156" s="466"/>
      <c r="S156" s="466"/>
      <c r="T156" s="466"/>
      <c r="U156" s="466"/>
      <c r="V156" s="466"/>
    </row>
    <row r="157" spans="1:22" x14ac:dyDescent="0.2">
      <c r="A157" s="466"/>
      <c r="B157" s="530">
        <f t="shared" si="15"/>
        <v>140</v>
      </c>
      <c r="C157" s="546">
        <f t="shared" si="12"/>
        <v>74118.749855499453</v>
      </c>
      <c r="D157" s="546">
        <f t="shared" si="16"/>
        <v>43161.609728995099</v>
      </c>
      <c r="E157" s="546">
        <f>IF(B157="","-",SUM($D$18:D157))</f>
        <v>6989353.0330915693</v>
      </c>
      <c r="F157" s="546">
        <f t="shared" si="13"/>
        <v>30957.140126504353</v>
      </c>
      <c r="G157" s="546">
        <f>IF(B157="","-",SUM($F$18:F157))</f>
        <v>2645368.524380377</v>
      </c>
      <c r="H157" s="546">
        <f t="shared" si="14"/>
        <v>10873028.475619625</v>
      </c>
      <c r="I157" s="465"/>
      <c r="J157" s="466"/>
      <c r="K157" s="466"/>
      <c r="M157" s="466"/>
      <c r="N157" s="466"/>
      <c r="O157" s="466"/>
      <c r="P157" s="466"/>
      <c r="Q157" s="466"/>
      <c r="R157" s="466"/>
      <c r="S157" s="466"/>
      <c r="T157" s="466"/>
      <c r="U157" s="466"/>
      <c r="V157" s="466"/>
    </row>
    <row r="158" spans="1:22" x14ac:dyDescent="0.2">
      <c r="A158" s="466"/>
      <c r="B158" s="530">
        <f t="shared" si="15"/>
        <v>141</v>
      </c>
      <c r="C158" s="546">
        <f t="shared" si="12"/>
        <v>74118.749855499453</v>
      </c>
      <c r="D158" s="546">
        <f t="shared" si="16"/>
        <v>43039.071049327686</v>
      </c>
      <c r="E158" s="546">
        <f>IF(B158="","-",SUM($D$18:D158))</f>
        <v>7032392.1041408973</v>
      </c>
      <c r="F158" s="546">
        <f t="shared" si="13"/>
        <v>31079.678806171767</v>
      </c>
      <c r="G158" s="546">
        <f>IF(B158="","-",SUM($F$18:F158))</f>
        <v>2676448.2031865488</v>
      </c>
      <c r="H158" s="546">
        <f t="shared" si="14"/>
        <v>10841948.796813453</v>
      </c>
      <c r="I158" s="465"/>
      <c r="J158" s="466"/>
      <c r="K158" s="466"/>
      <c r="M158" s="466"/>
      <c r="N158" s="466"/>
      <c r="O158" s="466"/>
      <c r="P158" s="466"/>
      <c r="Q158" s="466"/>
      <c r="R158" s="466"/>
      <c r="S158" s="466"/>
      <c r="T158" s="466"/>
      <c r="U158" s="466"/>
      <c r="V158" s="466"/>
    </row>
    <row r="159" spans="1:22" x14ac:dyDescent="0.2">
      <c r="A159" s="466"/>
      <c r="B159" s="530">
        <f t="shared" si="15"/>
        <v>142</v>
      </c>
      <c r="C159" s="546">
        <f t="shared" si="12"/>
        <v>74118.749855499453</v>
      </c>
      <c r="D159" s="546">
        <f t="shared" si="16"/>
        <v>42916.047320719917</v>
      </c>
      <c r="E159" s="546">
        <f>IF(B159="","-",SUM($D$18:D159))</f>
        <v>7075308.1514616171</v>
      </c>
      <c r="F159" s="546">
        <f t="shared" si="13"/>
        <v>31202.702534779535</v>
      </c>
      <c r="G159" s="546">
        <f>IF(B159="","-",SUM($F$18:F159))</f>
        <v>2707650.9057213282</v>
      </c>
      <c r="H159" s="546">
        <f t="shared" si="14"/>
        <v>10810746.094278673</v>
      </c>
      <c r="I159" s="465"/>
      <c r="J159" s="466"/>
      <c r="K159" s="466"/>
      <c r="M159" s="466"/>
      <c r="N159" s="466"/>
      <c r="O159" s="466"/>
      <c r="P159" s="466"/>
      <c r="Q159" s="466"/>
      <c r="R159" s="466"/>
      <c r="S159" s="466"/>
      <c r="T159" s="466"/>
      <c r="U159" s="466"/>
      <c r="V159" s="466"/>
    </row>
    <row r="160" spans="1:22" x14ac:dyDescent="0.2">
      <c r="A160" s="466"/>
      <c r="B160" s="530">
        <f t="shared" si="15"/>
        <v>143</v>
      </c>
      <c r="C160" s="546">
        <f t="shared" si="12"/>
        <v>74118.749855499453</v>
      </c>
      <c r="D160" s="546">
        <f t="shared" si="16"/>
        <v>42792.536623186417</v>
      </c>
      <c r="E160" s="546">
        <f>IF(B160="","-",SUM($D$18:D160))</f>
        <v>7118100.6880848035</v>
      </c>
      <c r="F160" s="546">
        <f t="shared" si="13"/>
        <v>31326.213232313035</v>
      </c>
      <c r="G160" s="546">
        <f>IF(B160="","-",SUM($F$18:F160))</f>
        <v>2738977.118953641</v>
      </c>
      <c r="H160" s="546">
        <f t="shared" si="14"/>
        <v>10779419.88104636</v>
      </c>
      <c r="I160" s="465"/>
      <c r="J160" s="466"/>
      <c r="K160" s="466"/>
      <c r="M160" s="466"/>
      <c r="N160" s="466"/>
      <c r="O160" s="466"/>
      <c r="P160" s="466"/>
      <c r="Q160" s="466"/>
      <c r="R160" s="466"/>
      <c r="S160" s="466"/>
      <c r="T160" s="466"/>
      <c r="U160" s="466"/>
      <c r="V160" s="466"/>
    </row>
    <row r="161" spans="1:22" x14ac:dyDescent="0.2">
      <c r="A161" s="466"/>
      <c r="B161" s="530">
        <f t="shared" si="15"/>
        <v>144</v>
      </c>
      <c r="C161" s="549">
        <f t="shared" si="12"/>
        <v>74118.749855499453</v>
      </c>
      <c r="D161" s="546">
        <f t="shared" si="16"/>
        <v>42668.537029141844</v>
      </c>
      <c r="E161" s="546">
        <f>IF(B161="","-",SUM($D$18:D161))</f>
        <v>7160769.2251139451</v>
      </c>
      <c r="F161" s="546">
        <f t="shared" si="13"/>
        <v>31450.212826357609</v>
      </c>
      <c r="G161" s="546">
        <f>IF(B161="","-",SUM($F$18:F161))</f>
        <v>2770427.3317799987</v>
      </c>
      <c r="H161" s="546">
        <f t="shared" si="14"/>
        <v>10747969.668220002</v>
      </c>
      <c r="I161" s="465"/>
      <c r="J161" s="466"/>
      <c r="K161" s="466"/>
      <c r="M161" s="466"/>
      <c r="N161" s="466"/>
      <c r="O161" s="466"/>
      <c r="P161" s="466"/>
      <c r="Q161" s="466"/>
      <c r="R161" s="466"/>
      <c r="S161" s="466"/>
      <c r="T161" s="466"/>
      <c r="U161" s="466"/>
      <c r="V161" s="466"/>
    </row>
    <row r="162" spans="1:22" x14ac:dyDescent="0.2">
      <c r="A162" s="466"/>
      <c r="B162" s="530">
        <f t="shared" si="15"/>
        <v>145</v>
      </c>
      <c r="C162" s="546">
        <f t="shared" si="12"/>
        <v>74118.749855499453</v>
      </c>
      <c r="D162" s="546">
        <f t="shared" si="16"/>
        <v>42544.046603370844</v>
      </c>
      <c r="E162" s="546">
        <f>IF(B162="","-",SUM($D$18:D162))</f>
        <v>7203313.2717173155</v>
      </c>
      <c r="F162" s="546">
        <f t="shared" si="13"/>
        <v>31574.703252128609</v>
      </c>
      <c r="G162" s="546">
        <f>IF(B162="","-",SUM($F$18:F162))</f>
        <v>2802002.0350321275</v>
      </c>
      <c r="H162" s="546">
        <f t="shared" si="14"/>
        <v>10716394.964967873</v>
      </c>
      <c r="I162" s="465"/>
      <c r="J162" s="466"/>
      <c r="K162" s="466"/>
      <c r="M162" s="466"/>
      <c r="N162" s="466"/>
      <c r="O162" s="466"/>
      <c r="P162" s="466"/>
      <c r="Q162" s="466"/>
      <c r="R162" s="466"/>
      <c r="S162" s="466"/>
      <c r="T162" s="466"/>
      <c r="U162" s="466"/>
      <c r="V162" s="466"/>
    </row>
    <row r="163" spans="1:22" x14ac:dyDescent="0.2">
      <c r="A163" s="466"/>
      <c r="B163" s="530">
        <f t="shared" si="15"/>
        <v>146</v>
      </c>
      <c r="C163" s="546">
        <f t="shared" si="12"/>
        <v>74118.749855499453</v>
      </c>
      <c r="D163" s="546">
        <f t="shared" si="16"/>
        <v>42419.063402997832</v>
      </c>
      <c r="E163" s="546">
        <f>IF(B163="","-",SUM($D$18:D163))</f>
        <v>7245732.3351203138</v>
      </c>
      <c r="F163" s="546">
        <f t="shared" si="13"/>
        <v>31699.686452501621</v>
      </c>
      <c r="G163" s="546">
        <f>IF(B163="","-",SUM($F$18:F163))</f>
        <v>2833701.721484629</v>
      </c>
      <c r="H163" s="546">
        <f t="shared" si="14"/>
        <v>10684695.278515371</v>
      </c>
      <c r="I163" s="465"/>
      <c r="J163" s="466"/>
      <c r="K163" s="466"/>
      <c r="M163" s="466"/>
      <c r="N163" s="466"/>
      <c r="O163" s="466"/>
      <c r="P163" s="466"/>
      <c r="Q163" s="466"/>
      <c r="R163" s="466"/>
      <c r="S163" s="466"/>
      <c r="T163" s="466"/>
      <c r="U163" s="466"/>
      <c r="V163" s="466"/>
    </row>
    <row r="164" spans="1:22" x14ac:dyDescent="0.2">
      <c r="A164" s="466"/>
      <c r="B164" s="530">
        <f t="shared" si="15"/>
        <v>147</v>
      </c>
      <c r="C164" s="546">
        <f t="shared" si="12"/>
        <v>74118.749855499453</v>
      </c>
      <c r="D164" s="546">
        <f t="shared" si="16"/>
        <v>42293.585477456676</v>
      </c>
      <c r="E164" s="546">
        <f>IF(B164="","-",SUM($D$18:D164))</f>
        <v>7288025.9205977703</v>
      </c>
      <c r="F164" s="546">
        <f t="shared" si="13"/>
        <v>31825.164378042777</v>
      </c>
      <c r="G164" s="546">
        <f>IF(B164="","-",SUM($F$18:F164))</f>
        <v>2865526.8858626718</v>
      </c>
      <c r="H164" s="546">
        <f t="shared" si="14"/>
        <v>10652870.114137327</v>
      </c>
      <c r="I164" s="465"/>
      <c r="J164" s="466"/>
      <c r="K164" s="466"/>
      <c r="M164" s="466"/>
      <c r="N164" s="466"/>
      <c r="O164" s="466"/>
      <c r="P164" s="466"/>
      <c r="Q164" s="466"/>
      <c r="R164" s="466"/>
      <c r="S164" s="466"/>
      <c r="T164" s="466"/>
      <c r="U164" s="466"/>
      <c r="V164" s="466"/>
    </row>
    <row r="165" spans="1:22" x14ac:dyDescent="0.2">
      <c r="A165" s="466"/>
      <c r="B165" s="530">
        <f t="shared" si="15"/>
        <v>148</v>
      </c>
      <c r="C165" s="546">
        <f t="shared" si="12"/>
        <v>74118.749855499453</v>
      </c>
      <c r="D165" s="546">
        <f t="shared" si="16"/>
        <v>42167.610868460259</v>
      </c>
      <c r="E165" s="546">
        <f>IF(B165="","-",SUM($D$18:D165))</f>
        <v>7330193.5314662308</v>
      </c>
      <c r="F165" s="546">
        <f t="shared" si="13"/>
        <v>31951.138987039194</v>
      </c>
      <c r="G165" s="546">
        <f>IF(B165="","-",SUM($F$18:F165))</f>
        <v>2897478.024849711</v>
      </c>
      <c r="H165" s="546">
        <f t="shared" si="14"/>
        <v>10620918.975150289</v>
      </c>
      <c r="I165" s="465"/>
      <c r="J165" s="466"/>
      <c r="K165" s="466"/>
      <c r="M165" s="466"/>
      <c r="N165" s="466"/>
      <c r="O165" s="466"/>
      <c r="P165" s="466"/>
      <c r="Q165" s="466"/>
      <c r="R165" s="466"/>
      <c r="S165" s="466"/>
      <c r="T165" s="466"/>
      <c r="U165" s="466"/>
      <c r="V165" s="466"/>
    </row>
    <row r="166" spans="1:22" x14ac:dyDescent="0.2">
      <c r="A166" s="466"/>
      <c r="B166" s="530">
        <f t="shared" si="15"/>
        <v>149</v>
      </c>
      <c r="C166" s="546">
        <f t="shared" si="12"/>
        <v>74118.749855499453</v>
      </c>
      <c r="D166" s="546">
        <f t="shared" si="16"/>
        <v>42041.137609969897</v>
      </c>
      <c r="E166" s="546">
        <f>IF(B166="","-",SUM($D$18:D166))</f>
        <v>7372234.6690762006</v>
      </c>
      <c r="F166" s="546">
        <f t="shared" si="13"/>
        <v>32077.612245529555</v>
      </c>
      <c r="G166" s="546">
        <f>IF(B166="","-",SUM($F$18:F166))</f>
        <v>2929555.6370952404</v>
      </c>
      <c r="H166" s="546">
        <f t="shared" si="14"/>
        <v>10588841.362904759</v>
      </c>
      <c r="I166" s="465"/>
      <c r="J166" s="466"/>
      <c r="K166" s="466"/>
      <c r="M166" s="466"/>
      <c r="N166" s="466"/>
      <c r="O166" s="466"/>
      <c r="P166" s="466"/>
      <c r="Q166" s="466"/>
      <c r="R166" s="466"/>
      <c r="S166" s="466"/>
      <c r="T166" s="466"/>
      <c r="U166" s="466"/>
      <c r="V166" s="466"/>
    </row>
    <row r="167" spans="1:22" x14ac:dyDescent="0.2">
      <c r="A167" s="466"/>
      <c r="B167" s="530">
        <f t="shared" si="15"/>
        <v>150</v>
      </c>
      <c r="C167" s="546">
        <f t="shared" si="12"/>
        <v>74118.749855499453</v>
      </c>
      <c r="D167" s="546">
        <f t="shared" si="16"/>
        <v>41914.163728164676</v>
      </c>
      <c r="E167" s="546">
        <f>IF(B167="","-",SUM($D$18:D167))</f>
        <v>7414148.8328043651</v>
      </c>
      <c r="F167" s="546">
        <f t="shared" si="13"/>
        <v>32204.586127334776</v>
      </c>
      <c r="G167" s="546">
        <f>IF(B167="","-",SUM($F$18:F167))</f>
        <v>2961760.2232225752</v>
      </c>
      <c r="H167" s="546">
        <f t="shared" si="14"/>
        <v>10556636.776777424</v>
      </c>
      <c r="I167" s="465"/>
      <c r="J167" s="466"/>
      <c r="K167" s="466"/>
      <c r="M167" s="466"/>
      <c r="N167" s="466"/>
      <c r="O167" s="466"/>
      <c r="P167" s="466"/>
      <c r="Q167" s="466"/>
      <c r="R167" s="466"/>
      <c r="S167" s="466"/>
      <c r="T167" s="466"/>
      <c r="U167" s="466"/>
      <c r="V167" s="466"/>
    </row>
    <row r="168" spans="1:22" x14ac:dyDescent="0.2">
      <c r="A168" s="466"/>
      <c r="B168" s="530">
        <f t="shared" si="15"/>
        <v>151</v>
      </c>
      <c r="C168" s="546">
        <f t="shared" si="12"/>
        <v>74118.749855499453</v>
      </c>
      <c r="D168" s="546">
        <f t="shared" si="16"/>
        <v>41786.68724141064</v>
      </c>
      <c r="E168" s="546">
        <f>IF(B168="","-",SUM($D$18:D168))</f>
        <v>7455935.5200457759</v>
      </c>
      <c r="F168" s="546">
        <f t="shared" si="13"/>
        <v>32332.062614088813</v>
      </c>
      <c r="G168" s="546">
        <f>IF(B168="","-",SUM($F$18:F168))</f>
        <v>2994092.285836664</v>
      </c>
      <c r="H168" s="546">
        <f t="shared" si="14"/>
        <v>10524304.714163335</v>
      </c>
      <c r="I168" s="465"/>
      <c r="J168" s="466"/>
      <c r="K168" s="466"/>
      <c r="M168" s="466"/>
      <c r="N168" s="466"/>
      <c r="O168" s="466"/>
      <c r="P168" s="466"/>
      <c r="Q168" s="466"/>
      <c r="R168" s="466"/>
      <c r="S168" s="466"/>
      <c r="T168" s="466"/>
      <c r="U168" s="466"/>
      <c r="V168" s="466"/>
    </row>
    <row r="169" spans="1:22" x14ac:dyDescent="0.2">
      <c r="A169" s="466"/>
      <c r="B169" s="530">
        <f t="shared" si="15"/>
        <v>152</v>
      </c>
      <c r="C169" s="546">
        <f t="shared" si="12"/>
        <v>74118.749855499453</v>
      </c>
      <c r="D169" s="546">
        <f t="shared" si="16"/>
        <v>41658.706160229871</v>
      </c>
      <c r="E169" s="546">
        <f>IF(B169="","-",SUM($D$18:D169))</f>
        <v>7497594.2262060056</v>
      </c>
      <c r="F169" s="546">
        <f t="shared" si="13"/>
        <v>32460.043695269582</v>
      </c>
      <c r="G169" s="546">
        <f>IF(B169="","-",SUM($F$18:F169))</f>
        <v>3026552.3295319336</v>
      </c>
      <c r="H169" s="546">
        <f t="shared" si="14"/>
        <v>10491844.670468066</v>
      </c>
      <c r="I169" s="465"/>
      <c r="J169" s="466"/>
      <c r="K169" s="466"/>
      <c r="M169" s="466"/>
      <c r="N169" s="466"/>
      <c r="O169" s="466"/>
      <c r="P169" s="466"/>
      <c r="Q169" s="466"/>
      <c r="R169" s="466"/>
      <c r="S169" s="466"/>
      <c r="T169" s="466"/>
      <c r="U169" s="466"/>
      <c r="V169" s="466"/>
    </row>
    <row r="170" spans="1:22" x14ac:dyDescent="0.2">
      <c r="A170" s="466"/>
      <c r="B170" s="530">
        <f t="shared" si="15"/>
        <v>153</v>
      </c>
      <c r="C170" s="546">
        <f t="shared" si="12"/>
        <v>74118.749855499453</v>
      </c>
      <c r="D170" s="546">
        <f t="shared" si="16"/>
        <v>41530.218487269434</v>
      </c>
      <c r="E170" s="546">
        <f>IF(B170="","-",SUM($D$18:D170))</f>
        <v>7539124.4446932748</v>
      </c>
      <c r="F170" s="546">
        <f t="shared" si="13"/>
        <v>32588.531368230018</v>
      </c>
      <c r="G170" s="546">
        <f>IF(B170="","-",SUM($F$18:F170))</f>
        <v>3059140.8609001637</v>
      </c>
      <c r="H170" s="546">
        <f t="shared" si="14"/>
        <v>10459256.139099836</v>
      </c>
      <c r="I170" s="465"/>
      <c r="J170" s="466"/>
      <c r="K170" s="466"/>
      <c r="M170" s="466"/>
      <c r="N170" s="466"/>
      <c r="O170" s="466"/>
      <c r="P170" s="466"/>
      <c r="Q170" s="466"/>
      <c r="R170" s="466"/>
      <c r="S170" s="466"/>
      <c r="T170" s="466"/>
      <c r="U170" s="466"/>
      <c r="V170" s="466"/>
    </row>
    <row r="171" spans="1:22" x14ac:dyDescent="0.2">
      <c r="A171" s="466"/>
      <c r="B171" s="530">
        <f t="shared" si="15"/>
        <v>154</v>
      </c>
      <c r="C171" s="546">
        <f t="shared" si="12"/>
        <v>74118.749855499453</v>
      </c>
      <c r="D171" s="546">
        <f t="shared" si="16"/>
        <v>41401.222217270188</v>
      </c>
      <c r="E171" s="546">
        <f>IF(B171="","-",SUM($D$18:D171))</f>
        <v>7580525.666910545</v>
      </c>
      <c r="F171" s="546">
        <f t="shared" si="13"/>
        <v>32717.527638229265</v>
      </c>
      <c r="G171" s="546">
        <f>IF(B171="","-",SUM($F$18:F171))</f>
        <v>3091858.3885383927</v>
      </c>
      <c r="H171" s="546">
        <f t="shared" si="14"/>
        <v>10426538.611461608</v>
      </c>
      <c r="I171" s="465"/>
      <c r="J171" s="466"/>
      <c r="K171" s="466"/>
      <c r="M171" s="466"/>
      <c r="N171" s="466"/>
      <c r="O171" s="466"/>
      <c r="P171" s="466"/>
      <c r="Q171" s="466"/>
      <c r="R171" s="466"/>
      <c r="S171" s="466"/>
      <c r="T171" s="466"/>
      <c r="U171" s="466"/>
      <c r="V171" s="466"/>
    </row>
    <row r="172" spans="1:22" x14ac:dyDescent="0.2">
      <c r="A172" s="466"/>
      <c r="B172" s="530">
        <f t="shared" si="15"/>
        <v>155</v>
      </c>
      <c r="C172" s="546">
        <f t="shared" si="12"/>
        <v>74118.749855499453</v>
      </c>
      <c r="D172" s="546">
        <f t="shared" si="16"/>
        <v>41271.715337035537</v>
      </c>
      <c r="E172" s="546">
        <f>IF(B172="","-",SUM($D$18:D172))</f>
        <v>7621797.3822475802</v>
      </c>
      <c r="F172" s="546">
        <f t="shared" si="13"/>
        <v>32847.034518463915</v>
      </c>
      <c r="G172" s="546">
        <f>IF(B172="","-",SUM($F$18:F172))</f>
        <v>3124705.4230568567</v>
      </c>
      <c r="H172" s="546">
        <f t="shared" si="14"/>
        <v>10393691.576943144</v>
      </c>
      <c r="I172" s="465"/>
      <c r="J172" s="466"/>
      <c r="K172" s="466"/>
      <c r="M172" s="466"/>
      <c r="N172" s="466"/>
      <c r="O172" s="466"/>
      <c r="P172" s="466"/>
      <c r="Q172" s="466"/>
      <c r="R172" s="466"/>
      <c r="S172" s="466"/>
      <c r="T172" s="466"/>
      <c r="U172" s="466"/>
      <c r="V172" s="466"/>
    </row>
    <row r="173" spans="1:22" x14ac:dyDescent="0.2">
      <c r="A173" s="466"/>
      <c r="B173" s="530">
        <f t="shared" si="15"/>
        <v>156</v>
      </c>
      <c r="C173" s="549">
        <f t="shared" si="12"/>
        <v>74118.749855499453</v>
      </c>
      <c r="D173" s="546">
        <f t="shared" si="16"/>
        <v>41141.695825399947</v>
      </c>
      <c r="E173" s="546">
        <f>IF(B173="","-",SUM($D$18:D173))</f>
        <v>7662939.07807298</v>
      </c>
      <c r="F173" s="546">
        <f t="shared" si="13"/>
        <v>32977.054030099505</v>
      </c>
      <c r="G173" s="546">
        <f>IF(B173="","-",SUM($F$18:F173))</f>
        <v>3157682.4770869561</v>
      </c>
      <c r="H173" s="546">
        <f t="shared" si="14"/>
        <v>10360714.522913044</v>
      </c>
      <c r="I173" s="465"/>
      <c r="J173" s="466"/>
      <c r="K173" s="466"/>
      <c r="M173" s="466"/>
      <c r="N173" s="466"/>
      <c r="O173" s="466"/>
      <c r="P173" s="466"/>
      <c r="Q173" s="466"/>
      <c r="R173" s="466"/>
      <c r="S173" s="466"/>
      <c r="T173" s="466"/>
      <c r="U173" s="466"/>
      <c r="V173" s="466"/>
    </row>
    <row r="174" spans="1:22" x14ac:dyDescent="0.2">
      <c r="A174" s="466"/>
      <c r="B174" s="530">
        <f t="shared" si="15"/>
        <v>157</v>
      </c>
      <c r="C174" s="546">
        <f t="shared" si="12"/>
        <v>74118.749855499453</v>
      </c>
      <c r="D174" s="546">
        <f t="shared" si="16"/>
        <v>41011.161653197472</v>
      </c>
      <c r="E174" s="546">
        <f>IF(B174="","-",SUM($D$18:D174))</f>
        <v>7703950.2397261774</v>
      </c>
      <c r="F174" s="546">
        <f t="shared" si="13"/>
        <v>33107.58820230198</v>
      </c>
      <c r="G174" s="546">
        <f>IF(B174="","-",SUM($F$18:F174))</f>
        <v>3190790.065289258</v>
      </c>
      <c r="H174" s="546">
        <f t="shared" si="14"/>
        <v>10327606.934710743</v>
      </c>
      <c r="I174" s="465"/>
      <c r="J174" s="466"/>
      <c r="K174" s="466"/>
      <c r="M174" s="466"/>
      <c r="N174" s="466"/>
      <c r="O174" s="466"/>
      <c r="P174" s="466"/>
      <c r="Q174" s="466"/>
      <c r="R174" s="466"/>
      <c r="S174" s="466"/>
      <c r="T174" s="466"/>
      <c r="U174" s="466"/>
      <c r="V174" s="466"/>
    </row>
    <row r="175" spans="1:22" x14ac:dyDescent="0.2">
      <c r="A175" s="466"/>
      <c r="B175" s="530">
        <f t="shared" si="15"/>
        <v>158</v>
      </c>
      <c r="C175" s="546">
        <f t="shared" si="12"/>
        <v>74118.749855499453</v>
      </c>
      <c r="D175" s="546">
        <f t="shared" si="16"/>
        <v>40880.110783230026</v>
      </c>
      <c r="E175" s="546">
        <f>IF(B175="","-",SUM($D$18:D175))</f>
        <v>7744830.350509407</v>
      </c>
      <c r="F175" s="546">
        <f t="shared" si="13"/>
        <v>33238.639072269427</v>
      </c>
      <c r="G175" s="546">
        <f>IF(B175="","-",SUM($F$18:F175))</f>
        <v>3224028.7043615272</v>
      </c>
      <c r="H175" s="546">
        <f t="shared" si="14"/>
        <v>10294368.295638474</v>
      </c>
      <c r="I175" s="465"/>
      <c r="J175" s="466"/>
      <c r="K175" s="466"/>
      <c r="M175" s="466"/>
      <c r="N175" s="466"/>
      <c r="O175" s="466"/>
      <c r="P175" s="466"/>
      <c r="Q175" s="466"/>
      <c r="R175" s="466"/>
      <c r="S175" s="466"/>
      <c r="T175" s="466"/>
      <c r="U175" s="466"/>
      <c r="V175" s="466"/>
    </row>
    <row r="176" spans="1:22" x14ac:dyDescent="0.2">
      <c r="A176" s="466"/>
      <c r="B176" s="530">
        <f t="shared" si="15"/>
        <v>159</v>
      </c>
      <c r="C176" s="546">
        <f t="shared" si="12"/>
        <v>74118.749855499453</v>
      </c>
      <c r="D176" s="546">
        <f t="shared" si="16"/>
        <v>40748.541170235629</v>
      </c>
      <c r="E176" s="546">
        <f>IF(B176="","-",SUM($D$18:D176))</f>
        <v>7785578.8916796427</v>
      </c>
      <c r="F176" s="546">
        <f t="shared" si="13"/>
        <v>33370.208685263824</v>
      </c>
      <c r="G176" s="546">
        <f>IF(B176="","-",SUM($F$18:F176))</f>
        <v>3257398.9130467912</v>
      </c>
      <c r="H176" s="546">
        <f t="shared" si="14"/>
        <v>10260998.08695321</v>
      </c>
      <c r="I176" s="465"/>
      <c r="J176" s="466"/>
      <c r="K176" s="466"/>
      <c r="M176" s="466"/>
      <c r="N176" s="466"/>
      <c r="O176" s="466"/>
      <c r="P176" s="466"/>
      <c r="Q176" s="466"/>
      <c r="R176" s="466"/>
      <c r="S176" s="466"/>
      <c r="T176" s="466"/>
      <c r="U176" s="466"/>
      <c r="V176" s="466"/>
    </row>
    <row r="177" spans="1:22" x14ac:dyDescent="0.2">
      <c r="A177" s="466"/>
      <c r="B177" s="530">
        <f t="shared" si="15"/>
        <v>160</v>
      </c>
      <c r="C177" s="546">
        <f t="shared" si="12"/>
        <v>74118.749855499453</v>
      </c>
      <c r="D177" s="546">
        <f t="shared" si="16"/>
        <v>40616.45076085646</v>
      </c>
      <c r="E177" s="546">
        <f>IF(B177="","-",SUM($D$18:D177))</f>
        <v>7826195.342440499</v>
      </c>
      <c r="F177" s="546">
        <f t="shared" si="13"/>
        <v>33502.299094642993</v>
      </c>
      <c r="G177" s="546">
        <f>IF(B177="","-",SUM($F$18:F177))</f>
        <v>3290901.2121414342</v>
      </c>
      <c r="H177" s="546">
        <f t="shared" si="14"/>
        <v>10227495.787858566</v>
      </c>
      <c r="I177" s="465"/>
      <c r="J177" s="466"/>
      <c r="K177" s="466"/>
      <c r="M177" s="466"/>
      <c r="N177" s="466"/>
      <c r="O177" s="466"/>
      <c r="P177" s="466"/>
      <c r="Q177" s="466"/>
      <c r="R177" s="466"/>
      <c r="S177" s="466"/>
      <c r="T177" s="466"/>
      <c r="U177" s="466"/>
      <c r="V177" s="466"/>
    </row>
    <row r="178" spans="1:22" x14ac:dyDescent="0.2">
      <c r="A178" s="466"/>
      <c r="B178" s="530">
        <f t="shared" si="15"/>
        <v>161</v>
      </c>
      <c r="C178" s="546">
        <f t="shared" si="12"/>
        <v>74118.749855499453</v>
      </c>
      <c r="D178" s="546">
        <f t="shared" si="16"/>
        <v>40483.837493606829</v>
      </c>
      <c r="E178" s="546">
        <f>IF(B178="","-",SUM($D$18:D178))</f>
        <v>7866679.1799341058</v>
      </c>
      <c r="F178" s="546">
        <f t="shared" si="13"/>
        <v>33634.912361892624</v>
      </c>
      <c r="G178" s="546">
        <f>IF(B178="","-",SUM($F$18:F178))</f>
        <v>3324536.1245033266</v>
      </c>
      <c r="H178" s="546">
        <f t="shared" si="14"/>
        <v>10193860.875496674</v>
      </c>
      <c r="I178" s="465"/>
      <c r="J178" s="466"/>
      <c r="K178" s="466"/>
      <c r="M178" s="466"/>
      <c r="N178" s="466"/>
      <c r="O178" s="466"/>
      <c r="P178" s="466"/>
      <c r="Q178" s="466"/>
      <c r="R178" s="466"/>
      <c r="S178" s="466"/>
      <c r="T178" s="466"/>
      <c r="U178" s="466"/>
      <c r="V178" s="466"/>
    </row>
    <row r="179" spans="1:22" x14ac:dyDescent="0.2">
      <c r="A179" s="466"/>
      <c r="B179" s="530">
        <f t="shared" si="15"/>
        <v>162</v>
      </c>
      <c r="C179" s="546">
        <f t="shared" si="12"/>
        <v>74118.749855499453</v>
      </c>
      <c r="D179" s="546">
        <f t="shared" si="16"/>
        <v>40350.699298841006</v>
      </c>
      <c r="E179" s="546">
        <f>IF(B179="","-",SUM($D$18:D179))</f>
        <v>7907029.8792329468</v>
      </c>
      <c r="F179" s="546">
        <f t="shared" si="13"/>
        <v>33768.050556658447</v>
      </c>
      <c r="G179" s="546">
        <f>IF(B179="","-",SUM($F$18:F179))</f>
        <v>3358304.1750599849</v>
      </c>
      <c r="H179" s="546">
        <f t="shared" si="14"/>
        <v>10160092.824940016</v>
      </c>
      <c r="I179" s="465"/>
      <c r="J179" s="466"/>
      <c r="K179" s="466"/>
      <c r="M179" s="466"/>
      <c r="N179" s="466"/>
      <c r="O179" s="466"/>
      <c r="P179" s="466"/>
      <c r="Q179" s="466"/>
      <c r="R179" s="466"/>
      <c r="S179" s="466"/>
      <c r="T179" s="466"/>
      <c r="U179" s="466"/>
      <c r="V179" s="466"/>
    </row>
    <row r="180" spans="1:22" x14ac:dyDescent="0.2">
      <c r="A180" s="466"/>
      <c r="B180" s="530">
        <f t="shared" si="15"/>
        <v>163</v>
      </c>
      <c r="C180" s="546">
        <f t="shared" si="12"/>
        <v>74118.749855499453</v>
      </c>
      <c r="D180" s="546">
        <f t="shared" si="16"/>
        <v>40217.034098720906</v>
      </c>
      <c r="E180" s="546">
        <f>IF(B180="","-",SUM($D$18:D180))</f>
        <v>7947246.9133316679</v>
      </c>
      <c r="F180" s="546">
        <f t="shared" si="13"/>
        <v>33901.715756778547</v>
      </c>
      <c r="G180" s="546">
        <f>IF(B180="","-",SUM($F$18:F180))</f>
        <v>3392205.8908167635</v>
      </c>
      <c r="H180" s="546">
        <f t="shared" si="14"/>
        <v>10126191.109183239</v>
      </c>
      <c r="I180" s="465"/>
      <c r="J180" s="466"/>
      <c r="K180" s="466"/>
      <c r="M180" s="466"/>
      <c r="N180" s="466"/>
      <c r="O180" s="466"/>
      <c r="P180" s="466"/>
      <c r="Q180" s="466"/>
      <c r="R180" s="466"/>
      <c r="S180" s="466"/>
      <c r="T180" s="466"/>
      <c r="U180" s="466"/>
      <c r="V180" s="466"/>
    </row>
    <row r="181" spans="1:22" x14ac:dyDescent="0.2">
      <c r="A181" s="466"/>
      <c r="B181" s="530">
        <f t="shared" si="15"/>
        <v>164</v>
      </c>
      <c r="C181" s="546">
        <f t="shared" si="12"/>
        <v>74118.749855499453</v>
      </c>
      <c r="D181" s="546">
        <f t="shared" si="16"/>
        <v>40082.839807183656</v>
      </c>
      <c r="E181" s="546">
        <f>IF(B181="","-",SUM($D$18:D181))</f>
        <v>7987329.7531388514</v>
      </c>
      <c r="F181" s="546">
        <f t="shared" si="13"/>
        <v>34035.910048315796</v>
      </c>
      <c r="G181" s="546">
        <f>IF(B181="","-",SUM($F$18:F181))</f>
        <v>3426241.8008650793</v>
      </c>
      <c r="H181" s="546">
        <f t="shared" si="14"/>
        <v>10092155.199134924</v>
      </c>
      <c r="I181" s="465"/>
      <c r="J181" s="466"/>
      <c r="K181" s="466"/>
      <c r="M181" s="466"/>
      <c r="N181" s="466"/>
      <c r="O181" s="466"/>
      <c r="P181" s="466"/>
      <c r="Q181" s="466"/>
      <c r="R181" s="466"/>
      <c r="S181" s="466"/>
      <c r="T181" s="466"/>
      <c r="U181" s="466"/>
      <c r="V181" s="466"/>
    </row>
    <row r="182" spans="1:22" x14ac:dyDescent="0.2">
      <c r="A182" s="466"/>
      <c r="B182" s="530">
        <f t="shared" si="15"/>
        <v>165</v>
      </c>
      <c r="C182" s="546">
        <f t="shared" si="12"/>
        <v>74118.749855499453</v>
      </c>
      <c r="D182" s="546">
        <f t="shared" si="16"/>
        <v>39948.114329909076</v>
      </c>
      <c r="E182" s="546">
        <f>IF(B182="","-",SUM($D$18:D182))</f>
        <v>8027277.8674687603</v>
      </c>
      <c r="F182" s="546">
        <f t="shared" si="13"/>
        <v>34170.635525590376</v>
      </c>
      <c r="G182" s="546">
        <f>IF(B182="","-",SUM($F$18:F182))</f>
        <v>3460412.4363906696</v>
      </c>
      <c r="H182" s="546">
        <f t="shared" si="14"/>
        <v>10057984.563609334</v>
      </c>
      <c r="I182" s="465"/>
      <c r="J182" s="466"/>
      <c r="K182" s="466"/>
      <c r="M182" s="466"/>
      <c r="N182" s="466"/>
      <c r="O182" s="466"/>
      <c r="P182" s="466"/>
      <c r="Q182" s="466"/>
      <c r="R182" s="466"/>
      <c r="S182" s="466"/>
      <c r="T182" s="466"/>
      <c r="U182" s="466"/>
      <c r="V182" s="466"/>
    </row>
    <row r="183" spans="1:22" x14ac:dyDescent="0.2">
      <c r="A183" s="466"/>
      <c r="B183" s="530">
        <f t="shared" si="15"/>
        <v>166</v>
      </c>
      <c r="C183" s="546">
        <f t="shared" si="12"/>
        <v>74118.749855499453</v>
      </c>
      <c r="D183" s="546">
        <f t="shared" si="16"/>
        <v>39812.855564286947</v>
      </c>
      <c r="E183" s="546">
        <f>IF(B183="","-",SUM($D$18:D183))</f>
        <v>8067090.7230330473</v>
      </c>
      <c r="F183" s="546">
        <f t="shared" si="13"/>
        <v>34305.894291212506</v>
      </c>
      <c r="G183" s="546">
        <f>IF(B183="","-",SUM($F$18:F183))</f>
        <v>3494718.3306818819</v>
      </c>
      <c r="H183" s="546">
        <f t="shared" si="14"/>
        <v>10023678.669318121</v>
      </c>
      <c r="I183" s="465"/>
      <c r="J183" s="466"/>
      <c r="K183" s="466"/>
      <c r="M183" s="466"/>
      <c r="N183" s="466"/>
      <c r="O183" s="466"/>
      <c r="P183" s="466"/>
      <c r="Q183" s="466"/>
      <c r="R183" s="466"/>
      <c r="S183" s="466"/>
      <c r="T183" s="466"/>
      <c r="U183" s="466"/>
      <c r="V183" s="466"/>
    </row>
    <row r="184" spans="1:22" x14ac:dyDescent="0.2">
      <c r="A184" s="466"/>
      <c r="B184" s="530">
        <f t="shared" si="15"/>
        <v>167</v>
      </c>
      <c r="C184" s="546">
        <f t="shared" si="12"/>
        <v>74118.749855499453</v>
      </c>
      <c r="D184" s="546">
        <f t="shared" si="16"/>
        <v>39677.061399384234</v>
      </c>
      <c r="E184" s="546">
        <f>IF(B184="","-",SUM($D$18:D184))</f>
        <v>8106767.7844324317</v>
      </c>
      <c r="F184" s="546">
        <f t="shared" si="13"/>
        <v>34441.688456115218</v>
      </c>
      <c r="G184" s="546">
        <f>IF(B184="","-",SUM($F$18:F184))</f>
        <v>3529160.0191379972</v>
      </c>
      <c r="H184" s="546">
        <f t="shared" si="14"/>
        <v>9989236.9808620065</v>
      </c>
      <c r="I184" s="465"/>
      <c r="J184" s="466"/>
      <c r="K184" s="466"/>
      <c r="M184" s="466"/>
      <c r="N184" s="466"/>
      <c r="O184" s="466"/>
      <c r="P184" s="466"/>
      <c r="Q184" s="466"/>
      <c r="R184" s="466"/>
      <c r="S184" s="466"/>
      <c r="T184" s="466"/>
      <c r="U184" s="466"/>
      <c r="V184" s="466"/>
    </row>
    <row r="185" spans="1:22" x14ac:dyDescent="0.2">
      <c r="A185" s="466"/>
      <c r="B185" s="530">
        <f t="shared" si="15"/>
        <v>168</v>
      </c>
      <c r="C185" s="549">
        <f t="shared" si="12"/>
        <v>74118.749855499453</v>
      </c>
      <c r="D185" s="546">
        <f t="shared" si="16"/>
        <v>39540.729715912115</v>
      </c>
      <c r="E185" s="546">
        <f>IF(B185="","-",SUM($D$18:D185))</f>
        <v>8146308.5141483434</v>
      </c>
      <c r="F185" s="546">
        <f t="shared" si="13"/>
        <v>34578.020139587337</v>
      </c>
      <c r="G185" s="546">
        <f>IF(B185="","-",SUM($F$18:F185))</f>
        <v>3563738.0392775843</v>
      </c>
      <c r="H185" s="546">
        <f t="shared" si="14"/>
        <v>9954658.9607224185</v>
      </c>
      <c r="I185" s="465"/>
      <c r="J185" s="466"/>
      <c r="K185" s="466"/>
      <c r="M185" s="466"/>
      <c r="N185" s="466"/>
      <c r="O185" s="466"/>
      <c r="P185" s="466"/>
      <c r="Q185" s="466"/>
      <c r="R185" s="466"/>
      <c r="S185" s="466"/>
      <c r="T185" s="466"/>
      <c r="U185" s="466"/>
      <c r="V185" s="466"/>
    </row>
    <row r="186" spans="1:22" x14ac:dyDescent="0.2">
      <c r="A186" s="466"/>
      <c r="B186" s="530">
        <f t="shared" si="15"/>
        <v>169</v>
      </c>
      <c r="C186" s="546">
        <f t="shared" si="12"/>
        <v>74118.749855499453</v>
      </c>
      <c r="D186" s="546">
        <f t="shared" si="16"/>
        <v>39403.858386192907</v>
      </c>
      <c r="E186" s="546">
        <f>IF(B186="","-",SUM($D$18:D186))</f>
        <v>8185712.3725345358</v>
      </c>
      <c r="F186" s="546">
        <f t="shared" si="13"/>
        <v>34714.891469306545</v>
      </c>
      <c r="G186" s="546">
        <f>IF(B186="","-",SUM($F$18:F186))</f>
        <v>3598452.9307468906</v>
      </c>
      <c r="H186" s="546">
        <f t="shared" si="14"/>
        <v>9919944.0692531113</v>
      </c>
      <c r="I186" s="465"/>
      <c r="J186" s="466"/>
      <c r="K186" s="466"/>
      <c r="M186" s="466"/>
      <c r="N186" s="466"/>
      <c r="O186" s="466"/>
      <c r="P186" s="466"/>
      <c r="Q186" s="466"/>
      <c r="R186" s="466"/>
      <c r="S186" s="466"/>
      <c r="T186" s="466"/>
      <c r="U186" s="466"/>
      <c r="V186" s="466"/>
    </row>
    <row r="187" spans="1:22" x14ac:dyDescent="0.2">
      <c r="A187" s="466"/>
      <c r="B187" s="530">
        <f t="shared" si="15"/>
        <v>170</v>
      </c>
      <c r="C187" s="546">
        <f t="shared" si="12"/>
        <v>74118.749855499453</v>
      </c>
      <c r="D187" s="546">
        <f t="shared" si="16"/>
        <v>39266.445274126905</v>
      </c>
      <c r="E187" s="546">
        <f>IF(B187="","-",SUM($D$18:D187))</f>
        <v>8224978.8178086625</v>
      </c>
      <c r="F187" s="546">
        <f t="shared" si="13"/>
        <v>34852.304581372548</v>
      </c>
      <c r="G187" s="546">
        <f>IF(B187="","-",SUM($F$18:F187))</f>
        <v>3633305.2353282631</v>
      </c>
      <c r="H187" s="546">
        <f t="shared" si="14"/>
        <v>9885091.7646717392</v>
      </c>
      <c r="I187" s="465"/>
      <c r="J187" s="466"/>
      <c r="K187" s="466"/>
      <c r="M187" s="466"/>
      <c r="N187" s="466"/>
      <c r="O187" s="466"/>
      <c r="P187" s="466"/>
      <c r="Q187" s="466"/>
      <c r="R187" s="466"/>
      <c r="S187" s="466"/>
      <c r="T187" s="466"/>
      <c r="U187" s="466"/>
      <c r="V187" s="466"/>
    </row>
    <row r="188" spans="1:22" x14ac:dyDescent="0.2">
      <c r="A188" s="466"/>
      <c r="B188" s="530">
        <f t="shared" si="15"/>
        <v>171</v>
      </c>
      <c r="C188" s="546">
        <f t="shared" si="12"/>
        <v>74118.749855499453</v>
      </c>
      <c r="D188" s="546">
        <f t="shared" si="16"/>
        <v>39128.488235158969</v>
      </c>
      <c r="E188" s="546">
        <f>IF(B188="","-",SUM($D$18:D188))</f>
        <v>8264107.3060438214</v>
      </c>
      <c r="F188" s="546">
        <f t="shared" si="13"/>
        <v>34990.261620340483</v>
      </c>
      <c r="G188" s="546">
        <f>IF(B188="","-",SUM($F$18:F188))</f>
        <v>3668295.4969486035</v>
      </c>
      <c r="H188" s="546">
        <f t="shared" si="14"/>
        <v>9850101.5030513983</v>
      </c>
      <c r="I188" s="465"/>
      <c r="J188" s="466"/>
      <c r="K188" s="466"/>
      <c r="M188" s="466"/>
      <c r="N188" s="466"/>
      <c r="O188" s="466"/>
      <c r="P188" s="466"/>
      <c r="Q188" s="466"/>
      <c r="R188" s="466"/>
      <c r="S188" s="466"/>
      <c r="T188" s="466"/>
      <c r="U188" s="466"/>
      <c r="V188" s="466"/>
    </row>
    <row r="189" spans="1:22" x14ac:dyDescent="0.2">
      <c r="A189" s="466"/>
      <c r="B189" s="530">
        <f t="shared" si="15"/>
        <v>172</v>
      </c>
      <c r="C189" s="546">
        <f t="shared" si="12"/>
        <v>74118.749855499453</v>
      </c>
      <c r="D189" s="546">
        <f t="shared" si="16"/>
        <v>38989.985116245123</v>
      </c>
      <c r="E189" s="546">
        <f>IF(B189="","-",SUM($D$18:D189))</f>
        <v>8303097.2911600666</v>
      </c>
      <c r="F189" s="546">
        <f t="shared" si="13"/>
        <v>35128.764739254329</v>
      </c>
      <c r="G189" s="546">
        <f>IF(B189="","-",SUM($F$18:F189))</f>
        <v>3703424.261687858</v>
      </c>
      <c r="H189" s="546">
        <f t="shared" si="14"/>
        <v>9814972.7383121438</v>
      </c>
      <c r="I189" s="465"/>
      <c r="J189" s="466"/>
      <c r="K189" s="466"/>
      <c r="M189" s="466"/>
      <c r="N189" s="466"/>
      <c r="O189" s="466"/>
      <c r="P189" s="466"/>
      <c r="Q189" s="466"/>
      <c r="R189" s="466"/>
      <c r="S189" s="466"/>
      <c r="T189" s="466"/>
      <c r="U189" s="466"/>
      <c r="V189" s="466"/>
    </row>
    <row r="190" spans="1:22" x14ac:dyDescent="0.2">
      <c r="A190" s="466"/>
      <c r="B190" s="530">
        <f t="shared" si="15"/>
        <v>173</v>
      </c>
      <c r="C190" s="546">
        <f t="shared" si="12"/>
        <v>74118.749855499453</v>
      </c>
      <c r="D190" s="546">
        <f t="shared" si="16"/>
        <v>38850.933755818907</v>
      </c>
      <c r="E190" s="546">
        <f>IF(B190="","-",SUM($D$18:D190))</f>
        <v>8341948.2249158854</v>
      </c>
      <c r="F190" s="546">
        <f t="shared" si="13"/>
        <v>35267.816099680545</v>
      </c>
      <c r="G190" s="546">
        <f>IF(B190="","-",SUM($F$18:F190))</f>
        <v>3738692.0777875385</v>
      </c>
      <c r="H190" s="546">
        <f t="shared" si="14"/>
        <v>9779704.9222124629</v>
      </c>
      <c r="I190" s="465"/>
      <c r="J190" s="466"/>
      <c r="K190" s="466"/>
      <c r="M190" s="466"/>
      <c r="N190" s="466"/>
      <c r="O190" s="466"/>
      <c r="P190" s="466"/>
      <c r="Q190" s="466"/>
      <c r="R190" s="466"/>
      <c r="S190" s="466"/>
      <c r="T190" s="466"/>
      <c r="U190" s="466"/>
      <c r="V190" s="466"/>
    </row>
    <row r="191" spans="1:22" x14ac:dyDescent="0.2">
      <c r="A191" s="466"/>
      <c r="B191" s="530">
        <f t="shared" si="15"/>
        <v>174</v>
      </c>
      <c r="C191" s="546">
        <f t="shared" si="12"/>
        <v>74118.749855499453</v>
      </c>
      <c r="D191" s="546">
        <f t="shared" si="16"/>
        <v>38711.331983757671</v>
      </c>
      <c r="E191" s="546">
        <f>IF(B191="","-",SUM($D$18:D191))</f>
        <v>8380659.5568996426</v>
      </c>
      <c r="F191" s="546">
        <f t="shared" si="13"/>
        <v>35407.417871741782</v>
      </c>
      <c r="G191" s="546">
        <f>IF(B191="","-",SUM($F$18:F191))</f>
        <v>3774099.4956592801</v>
      </c>
      <c r="H191" s="546">
        <f t="shared" si="14"/>
        <v>9744297.5043407213</v>
      </c>
      <c r="I191" s="465"/>
      <c r="J191" s="466"/>
      <c r="K191" s="466"/>
      <c r="M191" s="466"/>
      <c r="N191" s="466"/>
      <c r="O191" s="466"/>
      <c r="P191" s="466"/>
      <c r="Q191" s="466"/>
      <c r="R191" s="466"/>
      <c r="S191" s="466"/>
      <c r="T191" s="466"/>
      <c r="U191" s="466"/>
      <c r="V191" s="466"/>
    </row>
    <row r="192" spans="1:22" x14ac:dyDescent="0.2">
      <c r="A192" s="466"/>
      <c r="B192" s="530">
        <f t="shared" si="15"/>
        <v>175</v>
      </c>
      <c r="C192" s="546">
        <f t="shared" si="12"/>
        <v>74118.749855499453</v>
      </c>
      <c r="D192" s="546">
        <f t="shared" si="16"/>
        <v>38571.177621348688</v>
      </c>
      <c r="E192" s="546">
        <f>IF(B192="","-",SUM($D$18:D192))</f>
        <v>8419230.7345209904</v>
      </c>
      <c r="F192" s="546">
        <f t="shared" si="13"/>
        <v>35547.572234150764</v>
      </c>
      <c r="G192" s="546">
        <f>IF(B192="","-",SUM($F$18:F192))</f>
        <v>3809647.0678934311</v>
      </c>
      <c r="H192" s="546">
        <f t="shared" si="14"/>
        <v>9708749.9321065713</v>
      </c>
      <c r="I192" s="465"/>
      <c r="J192" s="466"/>
      <c r="K192" s="466"/>
      <c r="M192" s="466"/>
      <c r="N192" s="466"/>
      <c r="O192" s="466"/>
      <c r="P192" s="466"/>
      <c r="Q192" s="466"/>
      <c r="R192" s="466"/>
      <c r="S192" s="466"/>
      <c r="T192" s="466"/>
      <c r="U192" s="466"/>
      <c r="V192" s="466"/>
    </row>
    <row r="193" spans="1:22" x14ac:dyDescent="0.2">
      <c r="A193" s="466"/>
      <c r="B193" s="530">
        <f t="shared" si="15"/>
        <v>176</v>
      </c>
      <c r="C193" s="546">
        <f t="shared" si="12"/>
        <v>74118.749855499453</v>
      </c>
      <c r="D193" s="546">
        <f t="shared" si="16"/>
        <v>38430.468481255179</v>
      </c>
      <c r="E193" s="546">
        <f>IF(B193="","-",SUM($D$18:D193))</f>
        <v>8457661.2030022461</v>
      </c>
      <c r="F193" s="546">
        <f t="shared" si="13"/>
        <v>35688.281374244274</v>
      </c>
      <c r="G193" s="546">
        <f>IF(B193="","-",SUM($F$18:F193))</f>
        <v>3845335.3492676755</v>
      </c>
      <c r="H193" s="546">
        <f t="shared" si="14"/>
        <v>9673061.6507323273</v>
      </c>
      <c r="I193" s="465"/>
      <c r="J193" s="466"/>
      <c r="K193" s="466"/>
      <c r="M193" s="466"/>
      <c r="N193" s="466"/>
      <c r="O193" s="466"/>
      <c r="P193" s="466"/>
      <c r="Q193" s="466"/>
      <c r="R193" s="466"/>
      <c r="S193" s="466"/>
      <c r="T193" s="466"/>
      <c r="U193" s="466"/>
      <c r="V193" s="466"/>
    </row>
    <row r="194" spans="1:22" x14ac:dyDescent="0.2">
      <c r="A194" s="466"/>
      <c r="B194" s="530">
        <f t="shared" si="15"/>
        <v>177</v>
      </c>
      <c r="C194" s="546">
        <f t="shared" si="12"/>
        <v>74118.749855499453</v>
      </c>
      <c r="D194" s="546">
        <f t="shared" si="16"/>
        <v>38289.202367482132</v>
      </c>
      <c r="E194" s="546">
        <f>IF(B194="","-",SUM($D$18:D194))</f>
        <v>8495950.4053697288</v>
      </c>
      <c r="F194" s="546">
        <f t="shared" si="13"/>
        <v>35829.547488017321</v>
      </c>
      <c r="G194" s="546">
        <f>IF(B194="","-",SUM($F$18:F194))</f>
        <v>3881164.896755693</v>
      </c>
      <c r="H194" s="546">
        <f t="shared" si="14"/>
        <v>9637232.1032443102</v>
      </c>
      <c r="I194" s="465"/>
      <c r="J194" s="466"/>
      <c r="K194" s="466"/>
      <c r="M194" s="466"/>
      <c r="N194" s="466"/>
      <c r="O194" s="466"/>
      <c r="P194" s="466"/>
      <c r="Q194" s="466"/>
      <c r="R194" s="466"/>
      <c r="S194" s="466"/>
      <c r="T194" s="466"/>
      <c r="U194" s="466"/>
      <c r="V194" s="466"/>
    </row>
    <row r="195" spans="1:22" x14ac:dyDescent="0.2">
      <c r="A195" s="466"/>
      <c r="B195" s="530">
        <f t="shared" si="15"/>
        <v>178</v>
      </c>
      <c r="C195" s="546">
        <f t="shared" si="12"/>
        <v>74118.749855499453</v>
      </c>
      <c r="D195" s="546">
        <f t="shared" si="16"/>
        <v>38147.377075342061</v>
      </c>
      <c r="E195" s="546">
        <f>IF(B195="","-",SUM($D$18:D195))</f>
        <v>8534097.7824450713</v>
      </c>
      <c r="F195" s="546">
        <f t="shared" si="13"/>
        <v>35971.372780157391</v>
      </c>
      <c r="G195" s="546">
        <f>IF(B195="","-",SUM($F$18:F195))</f>
        <v>3917136.2695358503</v>
      </c>
      <c r="H195" s="546">
        <f t="shared" si="14"/>
        <v>9601260.730464153</v>
      </c>
      <c r="I195" s="465"/>
      <c r="J195" s="466"/>
      <c r="K195" s="466"/>
      <c r="M195" s="466"/>
      <c r="N195" s="466"/>
      <c r="O195" s="466"/>
      <c r="P195" s="466"/>
      <c r="Q195" s="466"/>
      <c r="R195" s="466"/>
      <c r="S195" s="466"/>
      <c r="T195" s="466"/>
      <c r="U195" s="466"/>
      <c r="V195" s="466"/>
    </row>
    <row r="196" spans="1:22" x14ac:dyDescent="0.2">
      <c r="A196" s="466"/>
      <c r="B196" s="530">
        <f t="shared" si="15"/>
        <v>179</v>
      </c>
      <c r="C196" s="546">
        <f t="shared" si="12"/>
        <v>74118.749855499453</v>
      </c>
      <c r="D196" s="546">
        <f t="shared" si="16"/>
        <v>38004.990391420608</v>
      </c>
      <c r="E196" s="546">
        <f>IF(B196="","-",SUM($D$18:D196))</f>
        <v>8572102.7728364915</v>
      </c>
      <c r="F196" s="546">
        <f t="shared" si="13"/>
        <v>36113.759464078845</v>
      </c>
      <c r="G196" s="546">
        <f>IF(B196="","-",SUM($F$18:F196))</f>
        <v>3953250.0289999293</v>
      </c>
      <c r="H196" s="546">
        <f t="shared" si="14"/>
        <v>9565146.9710000735</v>
      </c>
      <c r="I196" s="465"/>
      <c r="J196" s="466"/>
      <c r="K196" s="466"/>
      <c r="M196" s="466"/>
      <c r="N196" s="466"/>
      <c r="O196" s="466"/>
      <c r="P196" s="466"/>
      <c r="Q196" s="466"/>
      <c r="R196" s="466"/>
      <c r="S196" s="466"/>
      <c r="T196" s="466"/>
      <c r="U196" s="466"/>
      <c r="V196" s="466"/>
    </row>
    <row r="197" spans="1:22" x14ac:dyDescent="0.2">
      <c r="A197" s="466"/>
      <c r="B197" s="530">
        <f t="shared" si="15"/>
        <v>180</v>
      </c>
      <c r="C197" s="549">
        <f t="shared" si="12"/>
        <v>74118.749855499453</v>
      </c>
      <c r="D197" s="546">
        <f t="shared" si="16"/>
        <v>37862.04009354196</v>
      </c>
      <c r="E197" s="546">
        <f>IF(B197="","-",SUM($D$18:D197))</f>
        <v>8609964.8129300326</v>
      </c>
      <c r="F197" s="546">
        <f t="shared" si="13"/>
        <v>36256.709761957492</v>
      </c>
      <c r="G197" s="546">
        <f>IF(B197="","-",SUM($F$18:F197))</f>
        <v>3989506.738761887</v>
      </c>
      <c r="H197" s="546">
        <f t="shared" si="14"/>
        <v>9528890.2612381168</v>
      </c>
      <c r="I197" s="465"/>
      <c r="J197" s="466"/>
      <c r="K197" s="466"/>
      <c r="M197" s="466"/>
      <c r="N197" s="466"/>
      <c r="O197" s="466"/>
      <c r="P197" s="466"/>
      <c r="Q197" s="466"/>
      <c r="R197" s="466"/>
      <c r="S197" s="466"/>
      <c r="T197" s="466"/>
      <c r="U197" s="466"/>
      <c r="V197" s="466"/>
    </row>
    <row r="198" spans="1:22" x14ac:dyDescent="0.2">
      <c r="A198" s="466"/>
      <c r="B198" s="530">
        <f t="shared" si="15"/>
        <v>181</v>
      </c>
      <c r="C198" s="546">
        <f t="shared" si="12"/>
        <v>74118.749855499453</v>
      </c>
      <c r="D198" s="546">
        <f t="shared" si="16"/>
        <v>37718.523950734212</v>
      </c>
      <c r="E198" s="546">
        <f>IF(B198="","-",SUM($D$18:D198))</f>
        <v>8647683.3368807677</v>
      </c>
      <c r="F198" s="546">
        <f t="shared" si="13"/>
        <v>36400.225904765241</v>
      </c>
      <c r="G198" s="546">
        <f>IF(B198="","-",SUM($F$18:F198))</f>
        <v>4025906.964666652</v>
      </c>
      <c r="H198" s="546">
        <f t="shared" si="14"/>
        <v>9492490.0353333522</v>
      </c>
      <c r="I198" s="465"/>
      <c r="J198" s="466"/>
      <c r="K198" s="466"/>
      <c r="M198" s="466"/>
      <c r="N198" s="466"/>
      <c r="O198" s="466"/>
      <c r="P198" s="466"/>
      <c r="Q198" s="466"/>
      <c r="R198" s="466"/>
      <c r="S198" s="466"/>
      <c r="T198" s="466"/>
      <c r="U198" s="466"/>
      <c r="V198" s="466"/>
    </row>
    <row r="199" spans="1:22" x14ac:dyDescent="0.2">
      <c r="A199" s="466"/>
      <c r="B199" s="530">
        <f t="shared" si="15"/>
        <v>182</v>
      </c>
      <c r="C199" s="546">
        <f t="shared" si="12"/>
        <v>74118.749855499453</v>
      </c>
      <c r="D199" s="546">
        <f t="shared" si="16"/>
        <v>37574.439723194519</v>
      </c>
      <c r="E199" s="546">
        <f>IF(B199="","-",SUM($D$18:D199))</f>
        <v>8685257.7766039614</v>
      </c>
      <c r="F199" s="546">
        <f t="shared" si="13"/>
        <v>36544.310132304934</v>
      </c>
      <c r="G199" s="546">
        <f>IF(B199="","-",SUM($F$18:F199))</f>
        <v>4062451.2747989572</v>
      </c>
      <c r="H199" s="546">
        <f t="shared" si="14"/>
        <v>9455945.725201048</v>
      </c>
      <c r="I199" s="465"/>
      <c r="J199" s="466"/>
      <c r="K199" s="466"/>
      <c r="M199" s="466"/>
      <c r="N199" s="466"/>
      <c r="O199" s="466"/>
      <c r="P199" s="466"/>
      <c r="Q199" s="466"/>
      <c r="R199" s="466"/>
      <c r="S199" s="466"/>
      <c r="T199" s="466"/>
      <c r="U199" s="466"/>
      <c r="V199" s="466"/>
    </row>
    <row r="200" spans="1:22" x14ac:dyDescent="0.2">
      <c r="A200" s="466"/>
      <c r="B200" s="530">
        <f t="shared" si="15"/>
        <v>183</v>
      </c>
      <c r="C200" s="546">
        <f t="shared" si="12"/>
        <v>74118.749855499453</v>
      </c>
      <c r="D200" s="546">
        <f t="shared" si="16"/>
        <v>37429.785162254149</v>
      </c>
      <c r="E200" s="546">
        <f>IF(B200="","-",SUM($D$18:D200))</f>
        <v>8722687.5617662147</v>
      </c>
      <c r="F200" s="546">
        <f t="shared" si="13"/>
        <v>36688.964693245303</v>
      </c>
      <c r="G200" s="546">
        <f>IF(B200="","-",SUM($F$18:F200))</f>
        <v>4099140.2394922026</v>
      </c>
      <c r="H200" s="546">
        <f t="shared" si="14"/>
        <v>9419256.7605078034</v>
      </c>
      <c r="I200" s="465"/>
      <c r="J200" s="466"/>
      <c r="K200" s="466"/>
      <c r="M200" s="466"/>
      <c r="N200" s="466"/>
      <c r="O200" s="466"/>
      <c r="P200" s="466"/>
      <c r="Q200" s="466"/>
      <c r="R200" s="466"/>
      <c r="S200" s="466"/>
      <c r="T200" s="466"/>
      <c r="U200" s="466"/>
      <c r="V200" s="466"/>
    </row>
    <row r="201" spans="1:22" x14ac:dyDescent="0.2">
      <c r="A201" s="466"/>
      <c r="B201" s="530">
        <f t="shared" si="15"/>
        <v>184</v>
      </c>
      <c r="C201" s="546">
        <f t="shared" si="12"/>
        <v>74118.749855499453</v>
      </c>
      <c r="D201" s="546">
        <f t="shared" si="16"/>
        <v>37284.558010343389</v>
      </c>
      <c r="E201" s="546">
        <f>IF(B201="","-",SUM($D$18:D201))</f>
        <v>8759972.1197765581</v>
      </c>
      <c r="F201" s="546">
        <f t="shared" si="13"/>
        <v>36834.191845156063</v>
      </c>
      <c r="G201" s="546">
        <f>IF(B201="","-",SUM($F$18:F201))</f>
        <v>4135974.4313373589</v>
      </c>
      <c r="H201" s="546">
        <f t="shared" si="14"/>
        <v>9382422.5686626472</v>
      </c>
      <c r="I201" s="465"/>
      <c r="J201" s="466"/>
      <c r="K201" s="466"/>
      <c r="M201" s="466"/>
      <c r="N201" s="466"/>
      <c r="O201" s="466"/>
      <c r="P201" s="466"/>
      <c r="Q201" s="466"/>
      <c r="R201" s="466"/>
      <c r="S201" s="466"/>
      <c r="T201" s="466"/>
      <c r="U201" s="466"/>
      <c r="V201" s="466"/>
    </row>
    <row r="202" spans="1:22" x14ac:dyDescent="0.2">
      <c r="A202" s="466"/>
      <c r="B202" s="530">
        <f t="shared" si="15"/>
        <v>185</v>
      </c>
      <c r="C202" s="546">
        <f t="shared" si="12"/>
        <v>74118.749855499453</v>
      </c>
      <c r="D202" s="546">
        <f t="shared" si="16"/>
        <v>37138.756000956317</v>
      </c>
      <c r="E202" s="546">
        <f>IF(B202="","-",SUM($D$18:D202))</f>
        <v>8797110.8757775147</v>
      </c>
      <c r="F202" s="546">
        <f t="shared" si="13"/>
        <v>36979.993854543136</v>
      </c>
      <c r="G202" s="546">
        <f>IF(B202="","-",SUM($F$18:F202))</f>
        <v>4172954.4251919021</v>
      </c>
      <c r="H202" s="546">
        <f t="shared" si="14"/>
        <v>9345442.574808104</v>
      </c>
      <c r="I202" s="465"/>
      <c r="J202" s="466"/>
      <c r="K202" s="466"/>
      <c r="M202" s="466"/>
      <c r="N202" s="466"/>
      <c r="O202" s="466"/>
      <c r="P202" s="466"/>
      <c r="Q202" s="466"/>
      <c r="R202" s="466"/>
      <c r="S202" s="466"/>
      <c r="T202" s="466"/>
      <c r="U202" s="466"/>
      <c r="V202" s="466"/>
    </row>
    <row r="203" spans="1:22" x14ac:dyDescent="0.2">
      <c r="A203" s="466"/>
      <c r="B203" s="530">
        <f t="shared" si="15"/>
        <v>186</v>
      </c>
      <c r="C203" s="546">
        <f t="shared" si="12"/>
        <v>74118.749855499453</v>
      </c>
      <c r="D203" s="546">
        <f t="shared" si="16"/>
        <v>36992.376858615411</v>
      </c>
      <c r="E203" s="546">
        <f>IF(B203="","-",SUM($D$18:D203))</f>
        <v>8834103.2526361309</v>
      </c>
      <c r="F203" s="546">
        <f t="shared" si="13"/>
        <v>37126.372996884042</v>
      </c>
      <c r="G203" s="546">
        <f>IF(B203="","-",SUM($F$18:F203))</f>
        <v>4210080.798188786</v>
      </c>
      <c r="H203" s="546">
        <f t="shared" si="14"/>
        <v>9308316.2018112205</v>
      </c>
      <c r="I203" s="465"/>
      <c r="J203" s="466"/>
      <c r="K203" s="466"/>
      <c r="M203" s="466"/>
      <c r="N203" s="466"/>
      <c r="O203" s="466"/>
      <c r="P203" s="466"/>
      <c r="Q203" s="466"/>
      <c r="R203" s="466"/>
      <c r="S203" s="466"/>
      <c r="T203" s="466"/>
      <c r="U203" s="466"/>
      <c r="V203" s="466"/>
    </row>
    <row r="204" spans="1:22" x14ac:dyDescent="0.2">
      <c r="A204" s="466"/>
      <c r="B204" s="530">
        <f t="shared" si="15"/>
        <v>187</v>
      </c>
      <c r="C204" s="546">
        <f t="shared" si="12"/>
        <v>74118.749855499453</v>
      </c>
      <c r="D204" s="546">
        <f t="shared" si="16"/>
        <v>36845.418298836084</v>
      </c>
      <c r="E204" s="546">
        <f>IF(B204="","-",SUM($D$18:D204))</f>
        <v>8870948.6709349677</v>
      </c>
      <c r="F204" s="546">
        <f t="shared" si="13"/>
        <v>37273.331556663368</v>
      </c>
      <c r="G204" s="546">
        <f>IF(B204="","-",SUM($F$18:F204))</f>
        <v>4247354.1297454489</v>
      </c>
      <c r="H204" s="546">
        <f t="shared" si="14"/>
        <v>9271042.8702545576</v>
      </c>
      <c r="I204" s="465"/>
      <c r="J204" s="466"/>
      <c r="K204" s="466"/>
      <c r="M204" s="466"/>
      <c r="N204" s="466"/>
      <c r="O204" s="466"/>
      <c r="P204" s="466"/>
      <c r="Q204" s="466"/>
      <c r="R204" s="466"/>
      <c r="S204" s="466"/>
      <c r="T204" s="466"/>
      <c r="U204" s="466"/>
      <c r="V204" s="466"/>
    </row>
    <row r="205" spans="1:22" x14ac:dyDescent="0.2">
      <c r="A205" s="466"/>
      <c r="B205" s="530">
        <f t="shared" si="15"/>
        <v>188</v>
      </c>
      <c r="C205" s="546">
        <f t="shared" si="12"/>
        <v>74118.749855499453</v>
      </c>
      <c r="D205" s="546">
        <f t="shared" si="16"/>
        <v>36697.878028090963</v>
      </c>
      <c r="E205" s="546">
        <f>IF(B205="","-",SUM($D$18:D205))</f>
        <v>8907646.5489630587</v>
      </c>
      <c r="F205" s="546">
        <f t="shared" si="13"/>
        <v>37420.871827408489</v>
      </c>
      <c r="G205" s="546">
        <f>IF(B205="","-",SUM($F$18:F205))</f>
        <v>4284775.0015728576</v>
      </c>
      <c r="H205" s="546">
        <f t="shared" si="14"/>
        <v>9233621.9984271489</v>
      </c>
      <c r="I205" s="465"/>
      <c r="J205" s="466"/>
      <c r="K205" s="466"/>
      <c r="M205" s="466"/>
      <c r="N205" s="466"/>
      <c r="O205" s="466"/>
      <c r="P205" s="466"/>
      <c r="Q205" s="466"/>
      <c r="R205" s="466"/>
      <c r="S205" s="466"/>
      <c r="T205" s="466"/>
      <c r="U205" s="466"/>
      <c r="V205" s="466"/>
    </row>
    <row r="206" spans="1:22" x14ac:dyDescent="0.2">
      <c r="A206" s="466"/>
      <c r="B206" s="530">
        <f t="shared" si="15"/>
        <v>189</v>
      </c>
      <c r="C206" s="546">
        <f t="shared" si="12"/>
        <v>74118.749855499453</v>
      </c>
      <c r="D206" s="546">
        <f t="shared" si="16"/>
        <v>36549.753743774134</v>
      </c>
      <c r="E206" s="546">
        <f>IF(B206="","-",SUM($D$18:D206))</f>
        <v>8944196.3027068321</v>
      </c>
      <c r="F206" s="546">
        <f t="shared" si="13"/>
        <v>37568.996111725319</v>
      </c>
      <c r="G206" s="546">
        <f>IF(B206="","-",SUM($F$18:F206))</f>
        <v>4322343.9976845831</v>
      </c>
      <c r="H206" s="546">
        <f t="shared" si="14"/>
        <v>9196053.0023154244</v>
      </c>
      <c r="I206" s="465"/>
      <c r="J206" s="466"/>
      <c r="K206" s="466"/>
      <c r="M206" s="466"/>
      <c r="N206" s="466"/>
      <c r="O206" s="466"/>
      <c r="P206" s="466"/>
      <c r="Q206" s="466"/>
      <c r="R206" s="466"/>
      <c r="S206" s="466"/>
      <c r="T206" s="466"/>
      <c r="U206" s="466"/>
      <c r="V206" s="466"/>
    </row>
    <row r="207" spans="1:22" x14ac:dyDescent="0.2">
      <c r="A207" s="466"/>
      <c r="B207" s="530">
        <f t="shared" si="15"/>
        <v>190</v>
      </c>
      <c r="C207" s="546">
        <f t="shared" si="12"/>
        <v>74118.749855499453</v>
      </c>
      <c r="D207" s="546">
        <f t="shared" si="16"/>
        <v>36401.043134165222</v>
      </c>
      <c r="E207" s="546">
        <f>IF(B207="","-",SUM($D$18:D207))</f>
        <v>8980597.345840998</v>
      </c>
      <c r="F207" s="546">
        <f t="shared" si="13"/>
        <v>37717.706721334231</v>
      </c>
      <c r="G207" s="546">
        <f>IF(B207="","-",SUM($F$18:F207))</f>
        <v>4360061.7044059169</v>
      </c>
      <c r="H207" s="546">
        <f t="shared" si="14"/>
        <v>9158335.2955940906</v>
      </c>
      <c r="I207" s="465"/>
      <c r="J207" s="466"/>
      <c r="K207" s="466"/>
      <c r="M207" s="466"/>
      <c r="N207" s="466"/>
      <c r="O207" s="466"/>
      <c r="P207" s="466"/>
      <c r="Q207" s="466"/>
      <c r="R207" s="466"/>
      <c r="S207" s="466"/>
      <c r="T207" s="466"/>
      <c r="U207" s="466"/>
      <c r="V207" s="466"/>
    </row>
    <row r="208" spans="1:22" x14ac:dyDescent="0.2">
      <c r="A208" s="466"/>
      <c r="B208" s="530">
        <f t="shared" si="15"/>
        <v>191</v>
      </c>
      <c r="C208" s="546">
        <f t="shared" si="12"/>
        <v>74118.749855499453</v>
      </c>
      <c r="D208" s="546">
        <f t="shared" si="16"/>
        <v>36251.743878393281</v>
      </c>
      <c r="E208" s="546">
        <f>IF(B208="","-",SUM($D$18:D208))</f>
        <v>9016849.0897193905</v>
      </c>
      <c r="F208" s="546">
        <f t="shared" si="13"/>
        <v>37867.005977106171</v>
      </c>
      <c r="G208" s="546">
        <f>IF(B208="","-",SUM($F$18:F208))</f>
        <v>4397928.7103830231</v>
      </c>
      <c r="H208" s="546">
        <f t="shared" si="14"/>
        <v>9120468.2896169852</v>
      </c>
      <c r="I208" s="465"/>
      <c r="J208" s="466"/>
      <c r="K208" s="466"/>
      <c r="M208" s="466"/>
      <c r="N208" s="466"/>
      <c r="O208" s="466"/>
      <c r="P208" s="466"/>
      <c r="Q208" s="466"/>
      <c r="R208" s="466"/>
      <c r="S208" s="466"/>
      <c r="T208" s="466"/>
      <c r="U208" s="466"/>
      <c r="V208" s="466"/>
    </row>
    <row r="209" spans="1:22" x14ac:dyDescent="0.2">
      <c r="A209" s="466"/>
      <c r="B209" s="530">
        <f t="shared" si="15"/>
        <v>192</v>
      </c>
      <c r="C209" s="549">
        <f t="shared" si="12"/>
        <v>74118.749855499453</v>
      </c>
      <c r="D209" s="546">
        <f t="shared" si="16"/>
        <v>36101.853646400567</v>
      </c>
      <c r="E209" s="546">
        <f>IF(B209="","-",SUM($D$18:D209))</f>
        <v>9052950.9433657918</v>
      </c>
      <c r="F209" s="546">
        <f t="shared" si="13"/>
        <v>38016.896209098886</v>
      </c>
      <c r="G209" s="546">
        <f>IF(B209="","-",SUM($F$18:F209))</f>
        <v>4435945.6065921225</v>
      </c>
      <c r="H209" s="546">
        <f t="shared" si="14"/>
        <v>9082451.3934078868</v>
      </c>
      <c r="I209" s="465"/>
      <c r="J209" s="466"/>
      <c r="K209" s="466"/>
      <c r="M209" s="466"/>
      <c r="N209" s="466"/>
      <c r="O209" s="466"/>
      <c r="P209" s="466"/>
      <c r="Q209" s="466"/>
      <c r="R209" s="466"/>
      <c r="S209" s="466"/>
      <c r="T209" s="466"/>
      <c r="U209" s="466"/>
      <c r="V209" s="466"/>
    </row>
    <row r="210" spans="1:22" x14ac:dyDescent="0.2">
      <c r="A210" s="466"/>
      <c r="B210" s="530">
        <f t="shared" si="15"/>
        <v>193</v>
      </c>
      <c r="C210" s="546">
        <f t="shared" ref="C210:C257" si="17">IF(B210="","-",IF(B210&lt;=$D$6,D210,  $D$7))</f>
        <v>74118.749855499453</v>
      </c>
      <c r="D210" s="546">
        <f t="shared" si="16"/>
        <v>35951.37009890622</v>
      </c>
      <c r="E210" s="546">
        <f>IF(B210="","-",SUM($D$18:D210))</f>
        <v>9088902.3134646975</v>
      </c>
      <c r="F210" s="546">
        <f t="shared" ref="F210:F273" si="18">IF(B210="","-",C210-D210)</f>
        <v>38167.379756593233</v>
      </c>
      <c r="G210" s="546">
        <f>IF(B210="","-",SUM($F$18:F210))</f>
        <v>4474112.9863487156</v>
      </c>
      <c r="H210" s="546">
        <f t="shared" ref="H210:H273" si="19">IF(B210="","-",H209-F210)</f>
        <v>9044284.0136512928</v>
      </c>
      <c r="I210" s="465"/>
      <c r="J210" s="466"/>
      <c r="K210" s="466"/>
      <c r="M210" s="466"/>
      <c r="N210" s="466"/>
      <c r="O210" s="466"/>
      <c r="P210" s="466"/>
      <c r="Q210" s="466"/>
      <c r="R210" s="466"/>
      <c r="S210" s="466"/>
      <c r="T210" s="466"/>
      <c r="U210" s="466"/>
      <c r="V210" s="466"/>
    </row>
    <row r="211" spans="1:22" x14ac:dyDescent="0.2">
      <c r="A211" s="466"/>
      <c r="B211" s="530">
        <f t="shared" ref="B211:B274" si="20">IF(B210&gt;=$D$5*12,"",B210+1)</f>
        <v>194</v>
      </c>
      <c r="C211" s="546">
        <f t="shared" si="17"/>
        <v>74118.749855499453</v>
      </c>
      <c r="D211" s="546">
        <f t="shared" ref="D211:D274" si="21">IF(B211="","-",$D$4/12*H210)</f>
        <v>35800.290887369702</v>
      </c>
      <c r="E211" s="546">
        <f>IF(B211="","-",SUM($D$18:D211))</f>
        <v>9124702.6043520663</v>
      </c>
      <c r="F211" s="546">
        <f t="shared" si="18"/>
        <v>38318.458968129751</v>
      </c>
      <c r="G211" s="546">
        <f>IF(B211="","-",SUM($F$18:F211))</f>
        <v>4512431.4453168456</v>
      </c>
      <c r="H211" s="546">
        <f t="shared" si="19"/>
        <v>9005965.5546831638</v>
      </c>
      <c r="I211" s="465"/>
      <c r="J211" s="466"/>
      <c r="K211" s="466"/>
      <c r="M211" s="466"/>
      <c r="N211" s="466"/>
      <c r="O211" s="466"/>
      <c r="P211" s="466"/>
      <c r="Q211" s="466"/>
      <c r="R211" s="466"/>
      <c r="S211" s="466"/>
      <c r="T211" s="466"/>
      <c r="U211" s="466"/>
      <c r="V211" s="466"/>
    </row>
    <row r="212" spans="1:22" x14ac:dyDescent="0.2">
      <c r="A212" s="466"/>
      <c r="B212" s="530">
        <f t="shared" si="20"/>
        <v>195</v>
      </c>
      <c r="C212" s="546">
        <f t="shared" si="17"/>
        <v>74118.749855499453</v>
      </c>
      <c r="D212" s="546">
        <f t="shared" si="21"/>
        <v>35648.613653954191</v>
      </c>
      <c r="E212" s="546">
        <f>IF(B212="","-",SUM($D$18:D212))</f>
        <v>9160351.2180060204</v>
      </c>
      <c r="F212" s="546">
        <f t="shared" si="18"/>
        <v>38470.136201545261</v>
      </c>
      <c r="G212" s="546">
        <f>IF(B212="","-",SUM($F$18:F212))</f>
        <v>4550901.5815183911</v>
      </c>
      <c r="H212" s="546">
        <f t="shared" si="19"/>
        <v>8967495.4184816182</v>
      </c>
      <c r="I212" s="465"/>
      <c r="J212" s="466"/>
      <c r="K212" s="466"/>
      <c r="M212" s="466"/>
      <c r="N212" s="466"/>
      <c r="O212" s="466"/>
      <c r="P212" s="466"/>
      <c r="Q212" s="466"/>
      <c r="R212" s="466"/>
      <c r="S212" s="466"/>
      <c r="T212" s="466"/>
      <c r="U212" s="466"/>
      <c r="V212" s="466"/>
    </row>
    <row r="213" spans="1:22" x14ac:dyDescent="0.2">
      <c r="A213" s="466"/>
      <c r="B213" s="530">
        <f t="shared" si="20"/>
        <v>196</v>
      </c>
      <c r="C213" s="546">
        <f t="shared" si="17"/>
        <v>74118.749855499453</v>
      </c>
      <c r="D213" s="546">
        <f t="shared" si="21"/>
        <v>35496.336031489744</v>
      </c>
      <c r="E213" s="546">
        <f>IF(B213="","-",SUM($D$18:D213))</f>
        <v>9195847.5540375095</v>
      </c>
      <c r="F213" s="546">
        <f t="shared" si="18"/>
        <v>38622.413824009709</v>
      </c>
      <c r="G213" s="546">
        <f>IF(B213="","-",SUM($F$18:F213))</f>
        <v>4589523.9953424009</v>
      </c>
      <c r="H213" s="546">
        <f t="shared" si="19"/>
        <v>8928873.0046576075</v>
      </c>
      <c r="I213" s="465"/>
      <c r="J213" s="466"/>
      <c r="K213" s="466"/>
      <c r="M213" s="466"/>
      <c r="N213" s="466"/>
      <c r="O213" s="466"/>
      <c r="P213" s="466"/>
      <c r="Q213" s="466"/>
      <c r="R213" s="466"/>
      <c r="S213" s="466"/>
      <c r="T213" s="466"/>
      <c r="U213" s="466"/>
      <c r="V213" s="466"/>
    </row>
    <row r="214" spans="1:22" x14ac:dyDescent="0.2">
      <c r="A214" s="466"/>
      <c r="B214" s="530">
        <f t="shared" si="20"/>
        <v>197</v>
      </c>
      <c r="C214" s="546">
        <f t="shared" si="17"/>
        <v>74118.749855499453</v>
      </c>
      <c r="D214" s="546">
        <f t="shared" si="21"/>
        <v>35343.455643436369</v>
      </c>
      <c r="E214" s="546">
        <f>IF(B214="","-",SUM($D$18:D214))</f>
        <v>9231191.0096809454</v>
      </c>
      <c r="F214" s="546">
        <f t="shared" si="18"/>
        <v>38775.294212063083</v>
      </c>
      <c r="G214" s="546">
        <f>IF(B214="","-",SUM($F$18:F214))</f>
        <v>4628299.2895544637</v>
      </c>
      <c r="H214" s="546">
        <f t="shared" si="19"/>
        <v>8890097.7104455438</v>
      </c>
      <c r="I214" s="465"/>
      <c r="J214" s="466"/>
      <c r="K214" s="466"/>
      <c r="M214" s="466"/>
      <c r="N214" s="466"/>
      <c r="O214" s="466"/>
      <c r="P214" s="466"/>
      <c r="Q214" s="466"/>
      <c r="R214" s="466"/>
      <c r="S214" s="466"/>
      <c r="T214" s="466"/>
      <c r="U214" s="466"/>
      <c r="V214" s="466"/>
    </row>
    <row r="215" spans="1:22" x14ac:dyDescent="0.2">
      <c r="A215" s="466"/>
      <c r="B215" s="530">
        <f t="shared" si="20"/>
        <v>198</v>
      </c>
      <c r="C215" s="546">
        <f t="shared" si="17"/>
        <v>74118.749855499453</v>
      </c>
      <c r="D215" s="546">
        <f t="shared" si="21"/>
        <v>35189.97010384695</v>
      </c>
      <c r="E215" s="546">
        <f>IF(B215="","-",SUM($D$18:D215))</f>
        <v>9266380.9797847923</v>
      </c>
      <c r="F215" s="546">
        <f t="shared" si="18"/>
        <v>38928.779751652502</v>
      </c>
      <c r="G215" s="546">
        <f>IF(B215="","-",SUM($F$18:F215))</f>
        <v>4667228.0693061166</v>
      </c>
      <c r="H215" s="546">
        <f t="shared" si="19"/>
        <v>8851168.9306938909</v>
      </c>
      <c r="I215" s="465"/>
      <c r="J215" s="466"/>
      <c r="K215" s="466"/>
      <c r="M215" s="466"/>
      <c r="N215" s="466"/>
      <c r="O215" s="466"/>
      <c r="P215" s="466"/>
      <c r="Q215" s="466"/>
      <c r="R215" s="466"/>
      <c r="S215" s="466"/>
      <c r="T215" s="466"/>
      <c r="U215" s="466"/>
      <c r="V215" s="466"/>
    </row>
    <row r="216" spans="1:22" x14ac:dyDescent="0.2">
      <c r="A216" s="466"/>
      <c r="B216" s="530">
        <f t="shared" si="20"/>
        <v>199</v>
      </c>
      <c r="C216" s="546">
        <f t="shared" si="17"/>
        <v>74118.749855499453</v>
      </c>
      <c r="D216" s="546">
        <f t="shared" si="21"/>
        <v>35035.877017329985</v>
      </c>
      <c r="E216" s="546">
        <f>IF(B216="","-",SUM($D$18:D216))</f>
        <v>9301416.8568021227</v>
      </c>
      <c r="F216" s="546">
        <f t="shared" si="18"/>
        <v>39082.872838169467</v>
      </c>
      <c r="G216" s="546">
        <f>IF(B216="","-",SUM($F$18:F216))</f>
        <v>4706310.9421442859</v>
      </c>
      <c r="H216" s="546">
        <f t="shared" si="19"/>
        <v>8812086.0578557216</v>
      </c>
      <c r="I216" s="465"/>
      <c r="J216" s="466"/>
      <c r="K216" s="466"/>
      <c r="M216" s="466"/>
      <c r="N216" s="466"/>
      <c r="O216" s="466"/>
      <c r="P216" s="466"/>
      <c r="Q216" s="466"/>
      <c r="R216" s="466"/>
      <c r="S216" s="466"/>
      <c r="T216" s="466"/>
      <c r="U216" s="466"/>
      <c r="V216" s="466"/>
    </row>
    <row r="217" spans="1:22" x14ac:dyDescent="0.2">
      <c r="A217" s="466"/>
      <c r="B217" s="530">
        <f t="shared" si="20"/>
        <v>200</v>
      </c>
      <c r="C217" s="546">
        <f t="shared" si="17"/>
        <v>74118.749855499453</v>
      </c>
      <c r="D217" s="546">
        <f t="shared" si="21"/>
        <v>34881.173979012237</v>
      </c>
      <c r="E217" s="546">
        <f>IF(B217="","-",SUM($D$18:D217))</f>
        <v>9336298.030781135</v>
      </c>
      <c r="F217" s="546">
        <f t="shared" si="18"/>
        <v>39237.575876487215</v>
      </c>
      <c r="G217" s="546">
        <f>IF(B217="","-",SUM($F$18:F217))</f>
        <v>4745548.5180207733</v>
      </c>
      <c r="H217" s="546">
        <f t="shared" si="19"/>
        <v>8772848.4819792341</v>
      </c>
      <c r="I217" s="465"/>
      <c r="J217" s="466"/>
      <c r="K217" s="466"/>
      <c r="M217" s="466"/>
      <c r="N217" s="466"/>
      <c r="O217" s="466"/>
      <c r="P217" s="466"/>
      <c r="Q217" s="466"/>
      <c r="R217" s="466"/>
      <c r="S217" s="466"/>
      <c r="T217" s="466"/>
      <c r="U217" s="466"/>
      <c r="V217" s="466"/>
    </row>
    <row r="218" spans="1:22" x14ac:dyDescent="0.2">
      <c r="A218" s="466"/>
      <c r="B218" s="530">
        <f t="shared" si="20"/>
        <v>201</v>
      </c>
      <c r="C218" s="546">
        <f t="shared" si="17"/>
        <v>74118.749855499453</v>
      </c>
      <c r="D218" s="546">
        <f t="shared" si="21"/>
        <v>34725.858574501137</v>
      </c>
      <c r="E218" s="546">
        <f>IF(B218="","-",SUM($D$18:D218))</f>
        <v>9371023.8893556353</v>
      </c>
      <c r="F218" s="546">
        <f t="shared" si="18"/>
        <v>39392.891280998316</v>
      </c>
      <c r="G218" s="546">
        <f>IF(B218="","-",SUM($F$18:F218))</f>
        <v>4784941.4093017718</v>
      </c>
      <c r="H218" s="546">
        <f t="shared" si="19"/>
        <v>8733455.5906982366</v>
      </c>
      <c r="I218" s="465"/>
      <c r="J218" s="466"/>
      <c r="K218" s="466"/>
      <c r="M218" s="466"/>
      <c r="N218" s="466"/>
      <c r="O218" s="466"/>
      <c r="P218" s="466"/>
      <c r="Q218" s="466"/>
      <c r="R218" s="466"/>
      <c r="S218" s="466"/>
      <c r="T218" s="466"/>
      <c r="U218" s="466"/>
      <c r="V218" s="466"/>
    </row>
    <row r="219" spans="1:22" x14ac:dyDescent="0.2">
      <c r="A219" s="466"/>
      <c r="B219" s="530">
        <f t="shared" si="20"/>
        <v>202</v>
      </c>
      <c r="C219" s="546">
        <f t="shared" si="17"/>
        <v>74118.749855499453</v>
      </c>
      <c r="D219" s="546">
        <f t="shared" si="21"/>
        <v>34569.928379847188</v>
      </c>
      <c r="E219" s="546">
        <f>IF(B219="","-",SUM($D$18:D219))</f>
        <v>9405593.817735482</v>
      </c>
      <c r="F219" s="546">
        <f t="shared" si="18"/>
        <v>39548.821475652265</v>
      </c>
      <c r="G219" s="546">
        <f>IF(B219="","-",SUM($F$18:F219))</f>
        <v>4824490.2307774238</v>
      </c>
      <c r="H219" s="546">
        <f t="shared" si="19"/>
        <v>8693906.7692225836</v>
      </c>
      <c r="I219" s="465"/>
      <c r="J219" s="466"/>
      <c r="K219" s="466"/>
      <c r="M219" s="466"/>
      <c r="N219" s="466"/>
      <c r="O219" s="466"/>
      <c r="P219" s="466"/>
      <c r="Q219" s="466"/>
      <c r="R219" s="466"/>
      <c r="S219" s="466"/>
      <c r="T219" s="466"/>
      <c r="U219" s="466"/>
      <c r="V219" s="466"/>
    </row>
    <row r="220" spans="1:22" x14ac:dyDescent="0.2">
      <c r="A220" s="466"/>
      <c r="B220" s="530">
        <f t="shared" si="20"/>
        <v>203</v>
      </c>
      <c r="C220" s="546">
        <f t="shared" si="17"/>
        <v>74118.749855499453</v>
      </c>
      <c r="D220" s="546">
        <f t="shared" si="21"/>
        <v>34413.38096150606</v>
      </c>
      <c r="E220" s="546">
        <f>IF(B220="","-",SUM($D$18:D220))</f>
        <v>9440007.1986969877</v>
      </c>
      <c r="F220" s="546">
        <f t="shared" si="18"/>
        <v>39705.368893993393</v>
      </c>
      <c r="G220" s="546">
        <f>IF(B220="","-",SUM($F$18:F220))</f>
        <v>4864195.5996714169</v>
      </c>
      <c r="H220" s="546">
        <f t="shared" si="19"/>
        <v>8654201.4003285896</v>
      </c>
      <c r="I220" s="465"/>
      <c r="J220" s="466"/>
      <c r="K220" s="466"/>
      <c r="M220" s="466"/>
      <c r="N220" s="466"/>
      <c r="O220" s="466"/>
      <c r="P220" s="466"/>
      <c r="Q220" s="466"/>
      <c r="R220" s="466"/>
      <c r="S220" s="466"/>
      <c r="T220" s="466"/>
      <c r="U220" s="466"/>
      <c r="V220" s="466"/>
    </row>
    <row r="221" spans="1:22" x14ac:dyDescent="0.2">
      <c r="A221" s="466"/>
      <c r="B221" s="530">
        <f t="shared" si="20"/>
        <v>204</v>
      </c>
      <c r="C221" s="549">
        <f t="shared" si="17"/>
        <v>74118.749855499453</v>
      </c>
      <c r="D221" s="546">
        <f t="shared" si="21"/>
        <v>34256.213876300673</v>
      </c>
      <c r="E221" s="546">
        <f>IF(B221="","-",SUM($D$18:D221))</f>
        <v>9474263.4125732891</v>
      </c>
      <c r="F221" s="546">
        <f t="shared" si="18"/>
        <v>39862.535979198779</v>
      </c>
      <c r="G221" s="546">
        <f>IF(B221="","-",SUM($F$18:F221))</f>
        <v>4904058.1356506161</v>
      </c>
      <c r="H221" s="546">
        <f t="shared" si="19"/>
        <v>8614338.8643493913</v>
      </c>
      <c r="I221" s="465"/>
      <c r="J221" s="466"/>
      <c r="K221" s="466"/>
      <c r="M221" s="466"/>
      <c r="N221" s="466"/>
      <c r="O221" s="466"/>
      <c r="P221" s="466"/>
      <c r="Q221" s="466"/>
      <c r="R221" s="466"/>
      <c r="S221" s="466"/>
      <c r="T221" s="466"/>
      <c r="U221" s="466"/>
      <c r="V221" s="466"/>
    </row>
    <row r="222" spans="1:22" x14ac:dyDescent="0.2">
      <c r="A222" s="466"/>
      <c r="B222" s="530">
        <f t="shared" si="20"/>
        <v>205</v>
      </c>
      <c r="C222" s="546">
        <f t="shared" si="17"/>
        <v>74118.749855499453</v>
      </c>
      <c r="D222" s="546">
        <f t="shared" si="21"/>
        <v>34098.424671383007</v>
      </c>
      <c r="E222" s="546">
        <f>IF(B222="","-",SUM($D$18:D222))</f>
        <v>9508361.8372446727</v>
      </c>
      <c r="F222" s="546">
        <f t="shared" si="18"/>
        <v>40020.325184116446</v>
      </c>
      <c r="G222" s="546">
        <f>IF(B222="","-",SUM($F$18:F222))</f>
        <v>4944078.4608347323</v>
      </c>
      <c r="H222" s="546">
        <f t="shared" si="19"/>
        <v>8574318.5391652752</v>
      </c>
      <c r="I222" s="465"/>
      <c r="J222" s="466"/>
      <c r="K222" s="466"/>
      <c r="M222" s="466"/>
      <c r="N222" s="466"/>
      <c r="O222" s="466"/>
      <c r="P222" s="466"/>
      <c r="Q222" s="466"/>
      <c r="R222" s="466"/>
      <c r="S222" s="466"/>
      <c r="T222" s="466"/>
      <c r="U222" s="466"/>
      <c r="V222" s="466"/>
    </row>
    <row r="223" spans="1:22" x14ac:dyDescent="0.2">
      <c r="A223" s="466"/>
      <c r="B223" s="530">
        <f t="shared" si="20"/>
        <v>206</v>
      </c>
      <c r="C223" s="546">
        <f t="shared" si="17"/>
        <v>74118.749855499453</v>
      </c>
      <c r="D223" s="546">
        <f t="shared" si="21"/>
        <v>33940.010884195886</v>
      </c>
      <c r="E223" s="546">
        <f>IF(B223="","-",SUM($D$18:D223))</f>
        <v>9542301.8481288683</v>
      </c>
      <c r="F223" s="546">
        <f t="shared" si="18"/>
        <v>40178.738971303566</v>
      </c>
      <c r="G223" s="546">
        <f>IF(B223="","-",SUM($F$18:F223))</f>
        <v>4984257.1998060355</v>
      </c>
      <c r="H223" s="546">
        <f t="shared" si="19"/>
        <v>8534139.800193971</v>
      </c>
      <c r="I223" s="465"/>
      <c r="J223" s="466"/>
      <c r="K223" s="466"/>
      <c r="M223" s="466"/>
      <c r="N223" s="466"/>
      <c r="O223" s="466"/>
      <c r="P223" s="466"/>
      <c r="Q223" s="466"/>
      <c r="R223" s="466"/>
      <c r="S223" s="466"/>
      <c r="T223" s="466"/>
      <c r="U223" s="466"/>
      <c r="V223" s="466"/>
    </row>
    <row r="224" spans="1:22" x14ac:dyDescent="0.2">
      <c r="A224" s="466"/>
      <c r="B224" s="530">
        <f t="shared" si="20"/>
        <v>207</v>
      </c>
      <c r="C224" s="546">
        <f t="shared" si="17"/>
        <v>74118.749855499453</v>
      </c>
      <c r="D224" s="546">
        <f t="shared" si="21"/>
        <v>33780.97004243447</v>
      </c>
      <c r="E224" s="546">
        <f>IF(B224="","-",SUM($D$18:D224))</f>
        <v>9576082.8181713019</v>
      </c>
      <c r="F224" s="546">
        <f t="shared" si="18"/>
        <v>40337.779813064983</v>
      </c>
      <c r="G224" s="546">
        <f>IF(B224="","-",SUM($F$18:F224))</f>
        <v>5024594.9796191007</v>
      </c>
      <c r="H224" s="546">
        <f t="shared" si="19"/>
        <v>8493802.0203809068</v>
      </c>
      <c r="I224" s="465"/>
      <c r="J224" s="466"/>
      <c r="K224" s="466"/>
      <c r="M224" s="466"/>
      <c r="N224" s="466"/>
      <c r="O224" s="466"/>
      <c r="P224" s="466"/>
      <c r="Q224" s="466"/>
      <c r="R224" s="466"/>
      <c r="S224" s="466"/>
      <c r="T224" s="466"/>
      <c r="U224" s="466"/>
      <c r="V224" s="466"/>
    </row>
    <row r="225" spans="1:22" x14ac:dyDescent="0.2">
      <c r="A225" s="466"/>
      <c r="B225" s="530">
        <f t="shared" si="20"/>
        <v>208</v>
      </c>
      <c r="C225" s="546">
        <f t="shared" si="17"/>
        <v>74118.749855499453</v>
      </c>
      <c r="D225" s="546">
        <f t="shared" si="21"/>
        <v>33621.299664007762</v>
      </c>
      <c r="E225" s="546">
        <f>IF(B225="","-",SUM($D$18:D225))</f>
        <v>9609704.1178353094</v>
      </c>
      <c r="F225" s="546">
        <f t="shared" si="18"/>
        <v>40497.450191491691</v>
      </c>
      <c r="G225" s="546">
        <f>IF(B225="","-",SUM($F$18:F225))</f>
        <v>5065092.429810592</v>
      </c>
      <c r="H225" s="546">
        <f t="shared" si="19"/>
        <v>8453304.5701894145</v>
      </c>
      <c r="I225" s="465"/>
      <c r="J225" s="466"/>
      <c r="K225" s="466"/>
      <c r="M225" s="466"/>
      <c r="N225" s="466"/>
      <c r="O225" s="466"/>
      <c r="P225" s="466"/>
      <c r="Q225" s="466"/>
      <c r="R225" s="466"/>
      <c r="S225" s="466"/>
      <c r="T225" s="466"/>
      <c r="U225" s="466"/>
      <c r="V225" s="466"/>
    </row>
    <row r="226" spans="1:22" x14ac:dyDescent="0.2">
      <c r="A226" s="466"/>
      <c r="B226" s="530">
        <f t="shared" si="20"/>
        <v>209</v>
      </c>
      <c r="C226" s="546">
        <f t="shared" si="17"/>
        <v>74118.749855499453</v>
      </c>
      <c r="D226" s="546">
        <f t="shared" si="21"/>
        <v>33460.99725699977</v>
      </c>
      <c r="E226" s="546">
        <f>IF(B226="","-",SUM($D$18:D226))</f>
        <v>9643165.1150923092</v>
      </c>
      <c r="F226" s="546">
        <f t="shared" si="18"/>
        <v>40657.752598499683</v>
      </c>
      <c r="G226" s="546">
        <f>IF(B226="","-",SUM($F$18:F226))</f>
        <v>5105750.1824090919</v>
      </c>
      <c r="H226" s="546">
        <f t="shared" si="19"/>
        <v>8412646.8175909147</v>
      </c>
      <c r="I226" s="465"/>
      <c r="J226" s="466"/>
      <c r="K226" s="466"/>
      <c r="M226" s="466"/>
      <c r="N226" s="466"/>
      <c r="O226" s="466"/>
      <c r="P226" s="466"/>
      <c r="Q226" s="466"/>
      <c r="R226" s="466"/>
      <c r="S226" s="466"/>
      <c r="T226" s="466"/>
      <c r="U226" s="466"/>
      <c r="V226" s="466"/>
    </row>
    <row r="227" spans="1:22" x14ac:dyDescent="0.2">
      <c r="A227" s="466"/>
      <c r="B227" s="530">
        <f t="shared" si="20"/>
        <v>210</v>
      </c>
      <c r="C227" s="546">
        <f t="shared" si="17"/>
        <v>74118.749855499453</v>
      </c>
      <c r="D227" s="546">
        <f t="shared" si="21"/>
        <v>33300.060319630706</v>
      </c>
      <c r="E227" s="546">
        <f>IF(B227="","-",SUM($D$18:D227))</f>
        <v>9676465.1754119396</v>
      </c>
      <c r="F227" s="546">
        <f t="shared" si="18"/>
        <v>40818.689535868747</v>
      </c>
      <c r="G227" s="546">
        <f>IF(B227="","-",SUM($F$18:F227))</f>
        <v>5146568.8719449602</v>
      </c>
      <c r="H227" s="546">
        <f t="shared" si="19"/>
        <v>8371828.1280550463</v>
      </c>
      <c r="I227" s="465"/>
      <c r="J227" s="466"/>
      <c r="K227" s="466"/>
      <c r="M227" s="466"/>
      <c r="N227" s="466"/>
      <c r="O227" s="466"/>
      <c r="P227" s="466"/>
      <c r="Q227" s="466"/>
      <c r="R227" s="466"/>
      <c r="S227" s="466"/>
      <c r="T227" s="466"/>
      <c r="U227" s="466"/>
      <c r="V227" s="466"/>
    </row>
    <row r="228" spans="1:22" x14ac:dyDescent="0.2">
      <c r="A228" s="466"/>
      <c r="B228" s="530">
        <f t="shared" si="20"/>
        <v>211</v>
      </c>
      <c r="C228" s="546">
        <f t="shared" si="17"/>
        <v>74118.749855499453</v>
      </c>
      <c r="D228" s="546">
        <f t="shared" si="21"/>
        <v>33138.486340217896</v>
      </c>
      <c r="E228" s="546">
        <f>IF(B228="","-",SUM($D$18:D228))</f>
        <v>9709603.6617521569</v>
      </c>
      <c r="F228" s="546">
        <f t="shared" si="18"/>
        <v>40980.263515281556</v>
      </c>
      <c r="G228" s="546">
        <f>IF(B228="","-",SUM($F$18:F228))</f>
        <v>5187549.1354602417</v>
      </c>
      <c r="H228" s="546">
        <f t="shared" si="19"/>
        <v>8330847.8645397648</v>
      </c>
      <c r="I228" s="465"/>
      <c r="J228" s="466"/>
      <c r="K228" s="466"/>
      <c r="M228" s="466"/>
      <c r="N228" s="466"/>
      <c r="O228" s="466"/>
      <c r="P228" s="466"/>
      <c r="Q228" s="466"/>
      <c r="R228" s="466"/>
      <c r="S228" s="466"/>
      <c r="T228" s="466"/>
      <c r="U228" s="466"/>
      <c r="V228" s="466"/>
    </row>
    <row r="229" spans="1:22" x14ac:dyDescent="0.2">
      <c r="A229" s="466"/>
      <c r="B229" s="530">
        <f t="shared" si="20"/>
        <v>212</v>
      </c>
      <c r="C229" s="546">
        <f t="shared" si="17"/>
        <v>74118.749855499453</v>
      </c>
      <c r="D229" s="546">
        <f t="shared" si="21"/>
        <v>32976.272797136575</v>
      </c>
      <c r="E229" s="546">
        <f>IF(B229="","-",SUM($D$18:D229))</f>
        <v>9742579.9345492944</v>
      </c>
      <c r="F229" s="546">
        <f t="shared" si="18"/>
        <v>41142.477058362878</v>
      </c>
      <c r="G229" s="546">
        <f>IF(B229="","-",SUM($F$18:F229))</f>
        <v>5228691.6125186048</v>
      </c>
      <c r="H229" s="546">
        <f t="shared" si="19"/>
        <v>8289705.3874814017</v>
      </c>
      <c r="I229" s="465"/>
      <c r="J229" s="466"/>
      <c r="K229" s="466"/>
      <c r="M229" s="466"/>
      <c r="N229" s="466"/>
      <c r="O229" s="466"/>
      <c r="P229" s="466"/>
      <c r="Q229" s="466"/>
      <c r="R229" s="466"/>
      <c r="S229" s="466"/>
      <c r="T229" s="466"/>
      <c r="U229" s="466"/>
      <c r="V229" s="466"/>
    </row>
    <row r="230" spans="1:22" x14ac:dyDescent="0.2">
      <c r="A230" s="466"/>
      <c r="B230" s="530">
        <f t="shared" si="20"/>
        <v>213</v>
      </c>
      <c r="C230" s="546">
        <f t="shared" si="17"/>
        <v>74118.749855499453</v>
      </c>
      <c r="D230" s="546">
        <f t="shared" si="21"/>
        <v>32813.417158780554</v>
      </c>
      <c r="E230" s="546">
        <f>IF(B230="","-",SUM($D$18:D230))</f>
        <v>9775393.351708075</v>
      </c>
      <c r="F230" s="546">
        <f t="shared" si="18"/>
        <v>41305.332696718899</v>
      </c>
      <c r="G230" s="546">
        <f>IF(B230="","-",SUM($F$18:F230))</f>
        <v>5269996.9452153239</v>
      </c>
      <c r="H230" s="546">
        <f t="shared" si="19"/>
        <v>8248400.0547846826</v>
      </c>
      <c r="I230" s="465"/>
      <c r="J230" s="466"/>
      <c r="K230" s="466"/>
      <c r="M230" s="466"/>
      <c r="N230" s="466"/>
      <c r="O230" s="466"/>
      <c r="P230" s="466"/>
      <c r="Q230" s="466"/>
      <c r="R230" s="466"/>
      <c r="S230" s="466"/>
      <c r="T230" s="466"/>
      <c r="U230" s="466"/>
      <c r="V230" s="466"/>
    </row>
    <row r="231" spans="1:22" x14ac:dyDescent="0.2">
      <c r="A231" s="466"/>
      <c r="B231" s="530">
        <f t="shared" si="20"/>
        <v>214</v>
      </c>
      <c r="C231" s="546">
        <f t="shared" si="17"/>
        <v>74118.749855499453</v>
      </c>
      <c r="D231" s="546">
        <f t="shared" si="21"/>
        <v>32649.916883522703</v>
      </c>
      <c r="E231" s="546">
        <f>IF(B231="","-",SUM($D$18:D231))</f>
        <v>9808043.2685915977</v>
      </c>
      <c r="F231" s="546">
        <f t="shared" si="18"/>
        <v>41468.83297197675</v>
      </c>
      <c r="G231" s="546">
        <f>IF(B231="","-",SUM($F$18:F231))</f>
        <v>5311465.778187301</v>
      </c>
      <c r="H231" s="546">
        <f t="shared" si="19"/>
        <v>8206931.2218127055</v>
      </c>
      <c r="I231" s="465"/>
      <c r="J231" s="466"/>
      <c r="K231" s="466"/>
      <c r="M231" s="466"/>
      <c r="N231" s="466"/>
      <c r="O231" s="466"/>
      <c r="P231" s="466"/>
      <c r="Q231" s="466"/>
      <c r="R231" s="466"/>
      <c r="S231" s="466"/>
      <c r="T231" s="466"/>
      <c r="U231" s="466"/>
      <c r="V231" s="466"/>
    </row>
    <row r="232" spans="1:22" x14ac:dyDescent="0.2">
      <c r="A232" s="466"/>
      <c r="B232" s="530">
        <f t="shared" si="20"/>
        <v>215</v>
      </c>
      <c r="C232" s="546">
        <f t="shared" si="17"/>
        <v>74118.749855499453</v>
      </c>
      <c r="D232" s="546">
        <f t="shared" si="21"/>
        <v>32485.769419675296</v>
      </c>
      <c r="E232" s="546">
        <f>IF(B232="","-",SUM($D$18:D232))</f>
        <v>9840529.0380112734</v>
      </c>
      <c r="F232" s="546">
        <f t="shared" si="18"/>
        <v>41632.980435824153</v>
      </c>
      <c r="G232" s="546">
        <f>IF(B232="","-",SUM($F$18:F232))</f>
        <v>5353098.758623125</v>
      </c>
      <c r="H232" s="546">
        <f t="shared" si="19"/>
        <v>8165298.2413768815</v>
      </c>
      <c r="I232" s="465"/>
      <c r="J232" s="466"/>
      <c r="K232" s="466"/>
      <c r="M232" s="466"/>
      <c r="N232" s="466"/>
      <c r="O232" s="466"/>
      <c r="P232" s="466"/>
      <c r="Q232" s="466"/>
      <c r="R232" s="466"/>
      <c r="S232" s="466"/>
      <c r="T232" s="466"/>
      <c r="U232" s="466"/>
      <c r="V232" s="466"/>
    </row>
    <row r="233" spans="1:22" x14ac:dyDescent="0.2">
      <c r="A233" s="466"/>
      <c r="B233" s="530">
        <f t="shared" si="20"/>
        <v>216</v>
      </c>
      <c r="C233" s="549">
        <f t="shared" si="17"/>
        <v>74118.749855499453</v>
      </c>
      <c r="D233" s="546">
        <f t="shared" si="21"/>
        <v>32320.972205450158</v>
      </c>
      <c r="E233" s="546">
        <f>IF(B233="","-",SUM($D$18:D233))</f>
        <v>9872850.0102167241</v>
      </c>
      <c r="F233" s="546">
        <f t="shared" si="18"/>
        <v>41797.777650049291</v>
      </c>
      <c r="G233" s="546">
        <f>IF(B233="","-",SUM($F$18:F233))</f>
        <v>5394896.536273174</v>
      </c>
      <c r="H233" s="546">
        <f t="shared" si="19"/>
        <v>8123500.4637268325</v>
      </c>
      <c r="I233" s="465"/>
      <c r="J233" s="466"/>
      <c r="K233" s="466"/>
      <c r="M233" s="466"/>
      <c r="N233" s="466"/>
      <c r="O233" s="466"/>
      <c r="P233" s="466"/>
      <c r="Q233" s="466"/>
      <c r="R233" s="466"/>
      <c r="S233" s="466"/>
      <c r="T233" s="466"/>
      <c r="U233" s="466"/>
      <c r="V233" s="466"/>
    </row>
    <row r="234" spans="1:22" x14ac:dyDescent="0.2">
      <c r="A234" s="466"/>
      <c r="B234" s="530">
        <f t="shared" si="20"/>
        <v>217</v>
      </c>
      <c r="C234" s="546">
        <f t="shared" si="17"/>
        <v>74118.749855499453</v>
      </c>
      <c r="D234" s="546">
        <f t="shared" si="21"/>
        <v>32155.522668918715</v>
      </c>
      <c r="E234" s="546">
        <f>IF(B234="","-",SUM($D$18:D234))</f>
        <v>9905005.5328856427</v>
      </c>
      <c r="F234" s="546">
        <f t="shared" si="18"/>
        <v>41963.227186580742</v>
      </c>
      <c r="G234" s="546">
        <f>IF(B234="","-",SUM($F$18:F234))</f>
        <v>5436859.7634597551</v>
      </c>
      <c r="H234" s="546">
        <f t="shared" si="19"/>
        <v>8081537.2365402514</v>
      </c>
      <c r="I234" s="465"/>
      <c r="J234" s="466"/>
      <c r="K234" s="466"/>
      <c r="M234" s="466"/>
      <c r="N234" s="466"/>
      <c r="O234" s="466"/>
      <c r="P234" s="466"/>
      <c r="Q234" s="466"/>
      <c r="R234" s="466"/>
      <c r="S234" s="466"/>
      <c r="T234" s="466"/>
      <c r="U234" s="466"/>
      <c r="V234" s="466"/>
    </row>
    <row r="235" spans="1:22" x14ac:dyDescent="0.2">
      <c r="A235" s="466"/>
      <c r="B235" s="530">
        <f t="shared" si="20"/>
        <v>218</v>
      </c>
      <c r="C235" s="546">
        <f t="shared" si="17"/>
        <v>74118.749855499453</v>
      </c>
      <c r="D235" s="546">
        <f t="shared" si="21"/>
        <v>31989.41822797183</v>
      </c>
      <c r="E235" s="546">
        <f>IF(B235="","-",SUM($D$18:D235))</f>
        <v>9936994.9511136152</v>
      </c>
      <c r="F235" s="546">
        <f t="shared" si="18"/>
        <v>42129.331627527623</v>
      </c>
      <c r="G235" s="546">
        <f>IF(B235="","-",SUM($F$18:F235))</f>
        <v>5478989.0950872824</v>
      </c>
      <c r="H235" s="546">
        <f t="shared" si="19"/>
        <v>8039407.9049127242</v>
      </c>
      <c r="I235" s="465"/>
      <c r="J235" s="466"/>
      <c r="K235" s="466"/>
      <c r="M235" s="466"/>
      <c r="N235" s="466"/>
      <c r="O235" s="466"/>
      <c r="P235" s="466"/>
      <c r="Q235" s="466"/>
      <c r="R235" s="466"/>
      <c r="S235" s="466"/>
      <c r="T235" s="466"/>
      <c r="U235" s="466"/>
      <c r="V235" s="466"/>
    </row>
    <row r="236" spans="1:22" x14ac:dyDescent="0.2">
      <c r="A236" s="466"/>
      <c r="B236" s="530">
        <f t="shared" si="20"/>
        <v>219</v>
      </c>
      <c r="C236" s="546">
        <f t="shared" si="17"/>
        <v>74118.749855499453</v>
      </c>
      <c r="D236" s="546">
        <f t="shared" si="21"/>
        <v>31822.656290279538</v>
      </c>
      <c r="E236" s="546">
        <f>IF(B236="","-",SUM($D$18:D236))</f>
        <v>9968817.6074038949</v>
      </c>
      <c r="F236" s="546">
        <f t="shared" si="18"/>
        <v>42296.093565219911</v>
      </c>
      <c r="G236" s="546">
        <f>IF(B236="","-",SUM($F$18:F236))</f>
        <v>5521285.1886525024</v>
      </c>
      <c r="H236" s="546">
        <f t="shared" si="19"/>
        <v>7997111.8113475041</v>
      </c>
      <c r="I236" s="465"/>
      <c r="J236" s="466"/>
      <c r="K236" s="466"/>
      <c r="M236" s="466"/>
      <c r="N236" s="466"/>
      <c r="O236" s="466"/>
      <c r="P236" s="466"/>
      <c r="Q236" s="466"/>
      <c r="R236" s="466"/>
      <c r="S236" s="466"/>
      <c r="T236" s="466"/>
      <c r="U236" s="466"/>
      <c r="V236" s="466"/>
    </row>
    <row r="237" spans="1:22" x14ac:dyDescent="0.2">
      <c r="A237" s="466"/>
      <c r="B237" s="530">
        <f t="shared" si="20"/>
        <v>220</v>
      </c>
      <c r="C237" s="546">
        <f t="shared" si="17"/>
        <v>74118.749855499453</v>
      </c>
      <c r="D237" s="546">
        <f t="shared" si="21"/>
        <v>31655.234253250539</v>
      </c>
      <c r="E237" s="546">
        <f>IF(B237="","-",SUM($D$18:D237))</f>
        <v>10000472.841657145</v>
      </c>
      <c r="F237" s="546">
        <f t="shared" si="18"/>
        <v>42463.51560224891</v>
      </c>
      <c r="G237" s="546">
        <f>IF(B237="","-",SUM($F$18:F237))</f>
        <v>5563748.7042547511</v>
      </c>
      <c r="H237" s="546">
        <f t="shared" si="19"/>
        <v>7954648.2957452554</v>
      </c>
      <c r="I237" s="465"/>
      <c r="J237" s="466"/>
      <c r="K237" s="466"/>
      <c r="M237" s="466"/>
      <c r="N237" s="466"/>
      <c r="O237" s="466"/>
      <c r="P237" s="466"/>
      <c r="Q237" s="466"/>
      <c r="R237" s="466"/>
      <c r="S237" s="466"/>
      <c r="T237" s="466"/>
      <c r="U237" s="466"/>
      <c r="V237" s="466"/>
    </row>
    <row r="238" spans="1:22" x14ac:dyDescent="0.2">
      <c r="A238" s="466"/>
      <c r="B238" s="530">
        <f t="shared" si="20"/>
        <v>221</v>
      </c>
      <c r="C238" s="546">
        <f t="shared" si="17"/>
        <v>74118.749855499453</v>
      </c>
      <c r="D238" s="546">
        <f t="shared" si="21"/>
        <v>31487.149503991637</v>
      </c>
      <c r="E238" s="546">
        <f>IF(B238="","-",SUM($D$18:D238))</f>
        <v>10031959.991161136</v>
      </c>
      <c r="F238" s="546">
        <f t="shared" si="18"/>
        <v>42631.600351507819</v>
      </c>
      <c r="G238" s="546">
        <f>IF(B238="","-",SUM($F$18:F238))</f>
        <v>5606380.3046062589</v>
      </c>
      <c r="H238" s="546">
        <f t="shared" si="19"/>
        <v>7912016.6953937477</v>
      </c>
      <c r="I238" s="465"/>
      <c r="J238" s="466"/>
      <c r="K238" s="466"/>
      <c r="M238" s="466"/>
      <c r="N238" s="466"/>
      <c r="O238" s="466"/>
      <c r="P238" s="466"/>
      <c r="Q238" s="466"/>
      <c r="R238" s="466"/>
      <c r="S238" s="466"/>
      <c r="T238" s="466"/>
      <c r="U238" s="466"/>
      <c r="V238" s="466"/>
    </row>
    <row r="239" spans="1:22" x14ac:dyDescent="0.2">
      <c r="A239" s="466"/>
      <c r="B239" s="530">
        <f t="shared" si="20"/>
        <v>222</v>
      </c>
      <c r="C239" s="546">
        <f t="shared" si="17"/>
        <v>74118.749855499453</v>
      </c>
      <c r="D239" s="546">
        <f t="shared" si="21"/>
        <v>31318.39941926692</v>
      </c>
      <c r="E239" s="546">
        <f>IF(B239="","-",SUM($D$18:D239))</f>
        <v>10063278.390580403</v>
      </c>
      <c r="F239" s="546">
        <f t="shared" si="18"/>
        <v>42800.350436232533</v>
      </c>
      <c r="G239" s="546">
        <f>IF(B239="","-",SUM($F$18:F239))</f>
        <v>5649180.6550424919</v>
      </c>
      <c r="H239" s="546">
        <f t="shared" si="19"/>
        <v>7869216.3449575147</v>
      </c>
      <c r="I239" s="465"/>
      <c r="J239" s="466"/>
      <c r="K239" s="466"/>
      <c r="M239" s="466"/>
      <c r="N239" s="466"/>
      <c r="O239" s="466"/>
      <c r="P239" s="466"/>
      <c r="Q239" s="466"/>
      <c r="R239" s="466"/>
      <c r="S239" s="466"/>
      <c r="T239" s="466"/>
      <c r="U239" s="466"/>
      <c r="V239" s="466"/>
    </row>
    <row r="240" spans="1:22" x14ac:dyDescent="0.2">
      <c r="A240" s="466"/>
      <c r="B240" s="530">
        <f t="shared" si="20"/>
        <v>223</v>
      </c>
      <c r="C240" s="546">
        <f t="shared" si="17"/>
        <v>74118.749855499453</v>
      </c>
      <c r="D240" s="546">
        <f t="shared" si="21"/>
        <v>31148.981365456832</v>
      </c>
      <c r="E240" s="546">
        <f>IF(B240="","-",SUM($D$18:D240))</f>
        <v>10094427.37194586</v>
      </c>
      <c r="F240" s="546">
        <f t="shared" si="18"/>
        <v>42969.768490042625</v>
      </c>
      <c r="G240" s="546">
        <f>IF(B240="","-",SUM($F$18:F240))</f>
        <v>5692150.4235325344</v>
      </c>
      <c r="H240" s="546">
        <f t="shared" si="19"/>
        <v>7826246.5764674721</v>
      </c>
      <c r="I240" s="465"/>
      <c r="J240" s="466"/>
      <c r="K240" s="466"/>
      <c r="M240" s="466"/>
      <c r="N240" s="466"/>
      <c r="O240" s="466"/>
      <c r="P240" s="466"/>
      <c r="Q240" s="466"/>
      <c r="R240" s="466"/>
      <c r="S240" s="466"/>
      <c r="T240" s="466"/>
      <c r="U240" s="466"/>
      <c r="V240" s="466"/>
    </row>
    <row r="241" spans="1:22" x14ac:dyDescent="0.2">
      <c r="A241" s="466"/>
      <c r="B241" s="530">
        <f t="shared" si="20"/>
        <v>224</v>
      </c>
      <c r="C241" s="546">
        <f t="shared" si="17"/>
        <v>74118.749855499453</v>
      </c>
      <c r="D241" s="546">
        <f t="shared" si="21"/>
        <v>30978.89269851708</v>
      </c>
      <c r="E241" s="546">
        <f>IF(B241="","-",SUM($D$18:D241))</f>
        <v>10125406.264644377</v>
      </c>
      <c r="F241" s="546">
        <f t="shared" si="18"/>
        <v>43139.857156982369</v>
      </c>
      <c r="G241" s="546">
        <f>IF(B241="","-",SUM($F$18:F241))</f>
        <v>5735290.280689517</v>
      </c>
      <c r="H241" s="546">
        <f t="shared" si="19"/>
        <v>7783106.7193104895</v>
      </c>
      <c r="I241" s="465"/>
      <c r="J241" s="466"/>
      <c r="K241" s="466"/>
      <c r="M241" s="466"/>
      <c r="N241" s="466"/>
      <c r="O241" s="466"/>
      <c r="P241" s="466"/>
      <c r="Q241" s="466"/>
      <c r="R241" s="466"/>
      <c r="S241" s="466"/>
      <c r="T241" s="466"/>
      <c r="U241" s="466"/>
      <c r="V241" s="466"/>
    </row>
    <row r="242" spans="1:22" x14ac:dyDescent="0.2">
      <c r="A242" s="466"/>
      <c r="B242" s="530">
        <f t="shared" si="20"/>
        <v>225</v>
      </c>
      <c r="C242" s="546">
        <f t="shared" si="17"/>
        <v>74118.749855499453</v>
      </c>
      <c r="D242" s="546">
        <f t="shared" si="21"/>
        <v>30808.130763937355</v>
      </c>
      <c r="E242" s="546">
        <f>IF(B242="","-",SUM($D$18:D242))</f>
        <v>10156214.395408314</v>
      </c>
      <c r="F242" s="546">
        <f t="shared" si="18"/>
        <v>43310.619091562097</v>
      </c>
      <c r="G242" s="546">
        <f>IF(B242="","-",SUM($F$18:F242))</f>
        <v>5778600.899781079</v>
      </c>
      <c r="H242" s="546">
        <f t="shared" si="19"/>
        <v>7739796.1002189275</v>
      </c>
      <c r="I242" s="465"/>
      <c r="J242" s="466"/>
      <c r="K242" s="466"/>
      <c r="M242" s="466"/>
      <c r="N242" s="466"/>
      <c r="O242" s="466"/>
      <c r="P242" s="466"/>
      <c r="Q242" s="466"/>
      <c r="R242" s="466"/>
      <c r="S242" s="466"/>
      <c r="T242" s="466"/>
      <c r="U242" s="466"/>
      <c r="V242" s="466"/>
    </row>
    <row r="243" spans="1:22" x14ac:dyDescent="0.2">
      <c r="A243" s="466"/>
      <c r="B243" s="530">
        <f t="shared" si="20"/>
        <v>226</v>
      </c>
      <c r="C243" s="546">
        <f t="shared" si="17"/>
        <v>74118.749855499453</v>
      </c>
      <c r="D243" s="546">
        <f t="shared" si="21"/>
        <v>30636.692896699922</v>
      </c>
      <c r="E243" s="546">
        <f>IF(B243="","-",SUM($D$18:D243))</f>
        <v>10186851.088305013</v>
      </c>
      <c r="F243" s="546">
        <f t="shared" si="18"/>
        <v>43482.056958799527</v>
      </c>
      <c r="G243" s="546">
        <f>IF(B243="","-",SUM($F$18:F243))</f>
        <v>5822082.9567398783</v>
      </c>
      <c r="H243" s="546">
        <f t="shared" si="19"/>
        <v>7696314.0432601282</v>
      </c>
      <c r="I243" s="465"/>
      <c r="J243" s="466"/>
      <c r="K243" s="466"/>
      <c r="M243" s="466"/>
      <c r="N243" s="466"/>
      <c r="O243" s="466"/>
      <c r="P243" s="466"/>
      <c r="Q243" s="466"/>
      <c r="R243" s="466"/>
      <c r="S243" s="466"/>
      <c r="T243" s="466"/>
      <c r="U243" s="466"/>
      <c r="V243" s="466"/>
    </row>
    <row r="244" spans="1:22" x14ac:dyDescent="0.2">
      <c r="A244" s="466"/>
      <c r="B244" s="530">
        <f t="shared" si="20"/>
        <v>227</v>
      </c>
      <c r="C244" s="546">
        <f t="shared" si="17"/>
        <v>74118.749855499453</v>
      </c>
      <c r="D244" s="546">
        <f t="shared" si="21"/>
        <v>30464.576421238009</v>
      </c>
      <c r="E244" s="546">
        <f>IF(B244="","-",SUM($D$18:D244))</f>
        <v>10217315.664726252</v>
      </c>
      <c r="F244" s="546">
        <f t="shared" si="18"/>
        <v>43654.173434261444</v>
      </c>
      <c r="G244" s="546">
        <f>IF(B244="","-",SUM($F$18:F244))</f>
        <v>5865737.1301741395</v>
      </c>
      <c r="H244" s="546">
        <f t="shared" si="19"/>
        <v>7652659.869825867</v>
      </c>
      <c r="I244" s="465"/>
      <c r="J244" s="466"/>
      <c r="K244" s="466"/>
      <c r="M244" s="466"/>
      <c r="N244" s="466"/>
      <c r="O244" s="466"/>
      <c r="P244" s="466"/>
      <c r="Q244" s="466"/>
      <c r="R244" s="466"/>
      <c r="S244" s="466"/>
      <c r="T244" s="466"/>
      <c r="U244" s="466"/>
      <c r="V244" s="466"/>
    </row>
    <row r="245" spans="1:22" x14ac:dyDescent="0.2">
      <c r="A245" s="466"/>
      <c r="B245" s="530">
        <f t="shared" si="20"/>
        <v>228</v>
      </c>
      <c r="C245" s="549">
        <f t="shared" si="17"/>
        <v>74118.749855499453</v>
      </c>
      <c r="D245" s="546">
        <f t="shared" si="21"/>
        <v>30291.778651394059</v>
      </c>
      <c r="E245" s="546">
        <f>IF(B245="","-",SUM($D$18:D245))</f>
        <v>10247607.443377646</v>
      </c>
      <c r="F245" s="546">
        <f t="shared" si="18"/>
        <v>43826.971204105394</v>
      </c>
      <c r="G245" s="546">
        <f>IF(B245="","-",SUM($F$18:F245))</f>
        <v>5909564.1013782453</v>
      </c>
      <c r="H245" s="546">
        <f t="shared" si="19"/>
        <v>7608832.8986217612</v>
      </c>
      <c r="I245" s="465"/>
      <c r="J245" s="466"/>
      <c r="K245" s="466"/>
      <c r="M245" s="466"/>
      <c r="N245" s="466"/>
      <c r="O245" s="466"/>
      <c r="P245" s="466"/>
      <c r="Q245" s="466"/>
      <c r="R245" s="466"/>
      <c r="S245" s="466"/>
      <c r="T245" s="466"/>
      <c r="U245" s="466"/>
      <c r="V245" s="466"/>
    </row>
    <row r="246" spans="1:22" x14ac:dyDescent="0.2">
      <c r="A246" s="466"/>
      <c r="B246" s="530">
        <f t="shared" si="20"/>
        <v>229</v>
      </c>
      <c r="C246" s="546">
        <f t="shared" si="17"/>
        <v>74118.749855499453</v>
      </c>
      <c r="D246" s="546">
        <f t="shared" si="21"/>
        <v>30118.296890377809</v>
      </c>
      <c r="E246" s="546">
        <f>IF(B246="","-",SUM($D$18:D246))</f>
        <v>10277725.740268024</v>
      </c>
      <c r="F246" s="546">
        <f t="shared" si="18"/>
        <v>44000.452965121644</v>
      </c>
      <c r="G246" s="546">
        <f>IF(B246="","-",SUM($F$18:F246))</f>
        <v>5953564.554343367</v>
      </c>
      <c r="H246" s="546">
        <f t="shared" si="19"/>
        <v>7564832.4456566395</v>
      </c>
      <c r="I246" s="465"/>
      <c r="J246" s="466"/>
      <c r="K246" s="466"/>
      <c r="M246" s="466"/>
      <c r="N246" s="466"/>
      <c r="O246" s="466"/>
      <c r="P246" s="466"/>
      <c r="Q246" s="466"/>
      <c r="R246" s="466"/>
      <c r="S246" s="466"/>
      <c r="T246" s="466"/>
      <c r="U246" s="466"/>
      <c r="V246" s="466"/>
    </row>
    <row r="247" spans="1:22" x14ac:dyDescent="0.2">
      <c r="A247" s="466"/>
      <c r="B247" s="530">
        <f t="shared" si="20"/>
        <v>230</v>
      </c>
      <c r="C247" s="546">
        <f t="shared" si="17"/>
        <v>74118.749855499453</v>
      </c>
      <c r="D247" s="546">
        <f t="shared" si="21"/>
        <v>29944.128430724202</v>
      </c>
      <c r="E247" s="546">
        <f>IF(B247="","-",SUM($D$18:D247))</f>
        <v>10307669.868698748</v>
      </c>
      <c r="F247" s="546">
        <f t="shared" si="18"/>
        <v>44174.62142477525</v>
      </c>
      <c r="G247" s="546">
        <f>IF(B247="","-",SUM($F$18:F247))</f>
        <v>5997739.1757681426</v>
      </c>
      <c r="H247" s="546">
        <f t="shared" si="19"/>
        <v>7520657.824231864</v>
      </c>
      <c r="I247" s="465"/>
      <c r="J247" s="466"/>
      <c r="K247" s="466"/>
      <c r="M247" s="466"/>
      <c r="N247" s="466"/>
      <c r="O247" s="466"/>
      <c r="P247" s="466"/>
      <c r="Q247" s="466"/>
      <c r="R247" s="466"/>
      <c r="S247" s="466"/>
      <c r="T247" s="466"/>
      <c r="U247" s="466"/>
      <c r="V247" s="466"/>
    </row>
    <row r="248" spans="1:22" x14ac:dyDescent="0.2">
      <c r="A248" s="466"/>
      <c r="B248" s="530">
        <f t="shared" si="20"/>
        <v>231</v>
      </c>
      <c r="C248" s="546">
        <f t="shared" si="17"/>
        <v>74118.749855499453</v>
      </c>
      <c r="D248" s="546">
        <f t="shared" si="21"/>
        <v>29769.270554251132</v>
      </c>
      <c r="E248" s="546">
        <f>IF(B248="","-",SUM($D$18:D248))</f>
        <v>10337439.139253</v>
      </c>
      <c r="F248" s="546">
        <f t="shared" si="18"/>
        <v>44349.479301248321</v>
      </c>
      <c r="G248" s="546">
        <f>IF(B248="","-",SUM($F$18:F248))</f>
        <v>6042088.6550693912</v>
      </c>
      <c r="H248" s="546">
        <f t="shared" si="19"/>
        <v>7476308.3449306153</v>
      </c>
      <c r="I248" s="465"/>
      <c r="J248" s="466"/>
      <c r="K248" s="466"/>
      <c r="M248" s="466"/>
      <c r="N248" s="466"/>
      <c r="O248" s="466"/>
      <c r="P248" s="466"/>
      <c r="Q248" s="466"/>
      <c r="R248" s="466"/>
      <c r="S248" s="466"/>
      <c r="T248" s="466"/>
      <c r="U248" s="466"/>
      <c r="V248" s="466"/>
    </row>
    <row r="249" spans="1:22" x14ac:dyDescent="0.2">
      <c r="A249" s="466"/>
      <c r="B249" s="530">
        <f t="shared" si="20"/>
        <v>232</v>
      </c>
      <c r="C249" s="546">
        <f t="shared" si="17"/>
        <v>74118.749855499453</v>
      </c>
      <c r="D249" s="546">
        <f t="shared" si="21"/>
        <v>29593.720532017021</v>
      </c>
      <c r="E249" s="546">
        <f>IF(B249="","-",SUM($D$18:D249))</f>
        <v>10367032.859785017</v>
      </c>
      <c r="F249" s="546">
        <f t="shared" si="18"/>
        <v>44525.029323482435</v>
      </c>
      <c r="G249" s="546">
        <f>IF(B249="","-",SUM($F$18:F249))</f>
        <v>6086613.6843928741</v>
      </c>
      <c r="H249" s="546">
        <f t="shared" si="19"/>
        <v>7431783.3156071324</v>
      </c>
      <c r="I249" s="465"/>
      <c r="J249" s="466"/>
      <c r="K249" s="466"/>
      <c r="M249" s="466"/>
      <c r="N249" s="466"/>
      <c r="O249" s="466"/>
      <c r="P249" s="466"/>
      <c r="Q249" s="466"/>
      <c r="R249" s="466"/>
      <c r="S249" s="466"/>
      <c r="T249" s="466"/>
      <c r="U249" s="466"/>
      <c r="V249" s="466"/>
    </row>
    <row r="250" spans="1:22" x14ac:dyDescent="0.2">
      <c r="A250" s="466"/>
      <c r="B250" s="530">
        <f t="shared" si="20"/>
        <v>233</v>
      </c>
      <c r="C250" s="546">
        <f t="shared" si="17"/>
        <v>74118.749855499453</v>
      </c>
      <c r="D250" s="546">
        <f t="shared" si="21"/>
        <v>29417.475624278235</v>
      </c>
      <c r="E250" s="546">
        <f>IF(B250="","-",SUM($D$18:D250))</f>
        <v>10396450.335409295</v>
      </c>
      <c r="F250" s="546">
        <f t="shared" si="18"/>
        <v>44701.274231221221</v>
      </c>
      <c r="G250" s="546">
        <f>IF(B250="","-",SUM($F$18:F250))</f>
        <v>6131314.9586240957</v>
      </c>
      <c r="H250" s="546">
        <f t="shared" si="19"/>
        <v>7387082.0413759109</v>
      </c>
      <c r="I250" s="465"/>
      <c r="J250" s="466"/>
      <c r="K250" s="466"/>
      <c r="M250" s="466"/>
      <c r="N250" s="466"/>
      <c r="O250" s="466"/>
      <c r="P250" s="466"/>
      <c r="Q250" s="466"/>
      <c r="R250" s="466"/>
      <c r="S250" s="466"/>
      <c r="T250" s="466"/>
      <c r="U250" s="466"/>
      <c r="V250" s="466"/>
    </row>
    <row r="251" spans="1:22" x14ac:dyDescent="0.2">
      <c r="A251" s="466"/>
      <c r="B251" s="530">
        <f t="shared" si="20"/>
        <v>234</v>
      </c>
      <c r="C251" s="546">
        <f t="shared" si="17"/>
        <v>74118.749855499453</v>
      </c>
      <c r="D251" s="546">
        <f t="shared" si="21"/>
        <v>29240.533080446316</v>
      </c>
      <c r="E251" s="546">
        <f>IF(B251="","-",SUM($D$18:D251))</f>
        <v>10425690.86848974</v>
      </c>
      <c r="F251" s="546">
        <f t="shared" si="18"/>
        <v>44878.216775053137</v>
      </c>
      <c r="G251" s="546">
        <f>IF(B251="","-",SUM($F$18:F251))</f>
        <v>6176193.1753991488</v>
      </c>
      <c r="H251" s="546">
        <f t="shared" si="19"/>
        <v>7342203.8246008577</v>
      </c>
      <c r="I251" s="465"/>
      <c r="J251" s="466"/>
      <c r="K251" s="466"/>
      <c r="M251" s="466"/>
      <c r="N251" s="466"/>
      <c r="O251" s="466"/>
      <c r="P251" s="466"/>
      <c r="Q251" s="466"/>
      <c r="R251" s="466"/>
      <c r="S251" s="466"/>
      <c r="T251" s="466"/>
      <c r="U251" s="466"/>
      <c r="V251" s="466"/>
    </row>
    <row r="252" spans="1:22" x14ac:dyDescent="0.2">
      <c r="A252" s="466"/>
      <c r="B252" s="530">
        <f t="shared" si="20"/>
        <v>235</v>
      </c>
      <c r="C252" s="546">
        <f t="shared" si="17"/>
        <v>74118.749855499453</v>
      </c>
      <c r="D252" s="546">
        <f t="shared" si="21"/>
        <v>29062.890139045063</v>
      </c>
      <c r="E252" s="546">
        <f>IF(B252="","-",SUM($D$18:D252))</f>
        <v>10454753.758628786</v>
      </c>
      <c r="F252" s="546">
        <f t="shared" si="18"/>
        <v>45055.85971645439</v>
      </c>
      <c r="G252" s="546">
        <f>IF(B252="","-",SUM($F$18:F252))</f>
        <v>6221249.0351156034</v>
      </c>
      <c r="H252" s="546">
        <f t="shared" si="19"/>
        <v>7297147.9648844032</v>
      </c>
      <c r="I252" s="465"/>
      <c r="J252" s="466"/>
      <c r="K252" s="466"/>
      <c r="M252" s="466"/>
      <c r="N252" s="466"/>
      <c r="O252" s="466"/>
      <c r="P252" s="466"/>
      <c r="Q252" s="466"/>
      <c r="R252" s="466"/>
      <c r="S252" s="466"/>
      <c r="T252" s="466"/>
      <c r="U252" s="466"/>
      <c r="V252" s="466"/>
    </row>
    <row r="253" spans="1:22" x14ac:dyDescent="0.2">
      <c r="A253" s="466"/>
      <c r="B253" s="530">
        <f t="shared" si="20"/>
        <v>236</v>
      </c>
      <c r="C253" s="546">
        <f t="shared" si="17"/>
        <v>74118.749855499453</v>
      </c>
      <c r="D253" s="546">
        <f t="shared" si="21"/>
        <v>28884.544027667431</v>
      </c>
      <c r="E253" s="546">
        <f>IF(B253="","-",SUM($D$18:D253))</f>
        <v>10483638.302656453</v>
      </c>
      <c r="F253" s="546">
        <f t="shared" si="18"/>
        <v>45234.205827832018</v>
      </c>
      <c r="G253" s="546">
        <f>IF(B253="","-",SUM($F$18:F253))</f>
        <v>6266483.2409434356</v>
      </c>
      <c r="H253" s="546">
        <f t="shared" si="19"/>
        <v>7251913.7590565709</v>
      </c>
      <c r="I253" s="465"/>
      <c r="J253" s="466"/>
      <c r="K253" s="466"/>
      <c r="M253" s="466"/>
      <c r="N253" s="466"/>
      <c r="O253" s="466"/>
      <c r="P253" s="466"/>
      <c r="Q253" s="466"/>
      <c r="R253" s="466"/>
      <c r="S253" s="466"/>
      <c r="T253" s="466"/>
      <c r="U253" s="466"/>
      <c r="V253" s="466"/>
    </row>
    <row r="254" spans="1:22" x14ac:dyDescent="0.2">
      <c r="A254" s="466"/>
      <c r="B254" s="530">
        <f t="shared" si="20"/>
        <v>237</v>
      </c>
      <c r="C254" s="546">
        <f t="shared" si="17"/>
        <v>74118.749855499453</v>
      </c>
      <c r="D254" s="546">
        <f t="shared" si="21"/>
        <v>28705.491962932261</v>
      </c>
      <c r="E254" s="546">
        <f>IF(B254="","-",SUM($D$18:D254))</f>
        <v>10512343.794619385</v>
      </c>
      <c r="F254" s="546">
        <f t="shared" si="18"/>
        <v>45413.257892567191</v>
      </c>
      <c r="G254" s="546">
        <f>IF(B254="","-",SUM($F$18:F254))</f>
        <v>6311896.4988360023</v>
      </c>
      <c r="H254" s="546">
        <f t="shared" si="19"/>
        <v>7206500.5011640042</v>
      </c>
      <c r="I254" s="465"/>
      <c r="J254" s="466"/>
      <c r="K254" s="466"/>
      <c r="M254" s="466"/>
      <c r="N254" s="466"/>
      <c r="O254" s="466"/>
      <c r="P254" s="466"/>
      <c r="Q254" s="466"/>
      <c r="R254" s="466"/>
      <c r="S254" s="466"/>
      <c r="T254" s="466"/>
      <c r="U254" s="466"/>
      <c r="V254" s="466"/>
    </row>
    <row r="255" spans="1:22" x14ac:dyDescent="0.2">
      <c r="A255" s="466"/>
      <c r="B255" s="530">
        <f t="shared" si="20"/>
        <v>238</v>
      </c>
      <c r="C255" s="546">
        <f t="shared" si="17"/>
        <v>74118.749855499453</v>
      </c>
      <c r="D255" s="546">
        <f t="shared" si="21"/>
        <v>28525.731150440854</v>
      </c>
      <c r="E255" s="546">
        <f>IF(B255="","-",SUM($D$18:D255))</f>
        <v>10540869.525769826</v>
      </c>
      <c r="F255" s="546">
        <f t="shared" si="18"/>
        <v>45593.018705058596</v>
      </c>
      <c r="G255" s="546">
        <f>IF(B255="","-",SUM($F$18:F255))</f>
        <v>6357489.5175410612</v>
      </c>
      <c r="H255" s="546">
        <f t="shared" si="19"/>
        <v>7160907.4824589454</v>
      </c>
      <c r="I255" s="465"/>
      <c r="J255" s="466"/>
      <c r="K255" s="466"/>
      <c r="M255" s="466"/>
      <c r="N255" s="466"/>
      <c r="O255" s="466"/>
      <c r="P255" s="466"/>
      <c r="Q255" s="466"/>
      <c r="R255" s="466"/>
      <c r="S255" s="466"/>
      <c r="T255" s="466"/>
      <c r="U255" s="466"/>
      <c r="V255" s="466"/>
    </row>
    <row r="256" spans="1:22" x14ac:dyDescent="0.2">
      <c r="A256" s="466"/>
      <c r="B256" s="530">
        <f t="shared" si="20"/>
        <v>239</v>
      </c>
      <c r="C256" s="546">
        <f t="shared" si="17"/>
        <v>74118.749855499453</v>
      </c>
      <c r="D256" s="546">
        <f t="shared" si="21"/>
        <v>28345.258784733327</v>
      </c>
      <c r="E256" s="546">
        <f>IF(B256="","-",SUM($D$18:D256))</f>
        <v>10569214.78455456</v>
      </c>
      <c r="F256" s="546">
        <f t="shared" si="18"/>
        <v>45773.491070766126</v>
      </c>
      <c r="G256" s="546">
        <f>IF(B256="","-",SUM($F$18:F256))</f>
        <v>6403263.0086118272</v>
      </c>
      <c r="H256" s="546">
        <f t="shared" si="19"/>
        <v>7115133.9913881794</v>
      </c>
      <c r="I256" s="465"/>
      <c r="J256" s="466"/>
      <c r="K256" s="466"/>
      <c r="M256" s="466"/>
      <c r="N256" s="466"/>
      <c r="O256" s="466"/>
      <c r="P256" s="466"/>
      <c r="Q256" s="466"/>
      <c r="R256" s="466"/>
      <c r="S256" s="466"/>
      <c r="T256" s="466"/>
      <c r="U256" s="466"/>
      <c r="V256" s="466"/>
    </row>
    <row r="257" spans="1:22" x14ac:dyDescent="0.2">
      <c r="A257" s="466"/>
      <c r="B257" s="530">
        <f t="shared" si="20"/>
        <v>240</v>
      </c>
      <c r="C257" s="549">
        <f t="shared" si="17"/>
        <v>74118.749855499453</v>
      </c>
      <c r="D257" s="546">
        <f t="shared" si="21"/>
        <v>28164.072049244878</v>
      </c>
      <c r="E257" s="546">
        <f>IF(B257="","-",SUM($D$18:D257))</f>
        <v>10597378.856603805</v>
      </c>
      <c r="F257" s="546">
        <f t="shared" si="18"/>
        <v>45954.677806254578</v>
      </c>
      <c r="G257" s="546">
        <f>IF(B257="","-",SUM($F$18:F257))</f>
        <v>6449217.6864180816</v>
      </c>
      <c r="H257" s="546">
        <f t="shared" si="19"/>
        <v>7069179.3135819249</v>
      </c>
      <c r="I257" s="465"/>
      <c r="J257" s="466"/>
      <c r="K257" s="466"/>
      <c r="M257" s="466"/>
      <c r="N257" s="466"/>
      <c r="O257" s="466"/>
      <c r="P257" s="466"/>
      <c r="Q257" s="466"/>
      <c r="R257" s="466"/>
      <c r="S257" s="466"/>
      <c r="T257" s="466"/>
      <c r="U257" s="466"/>
      <c r="V257" s="466"/>
    </row>
    <row r="258" spans="1:22" x14ac:dyDescent="0.2">
      <c r="A258" s="466"/>
      <c r="B258" s="530">
        <f t="shared" si="20"/>
        <v>241</v>
      </c>
      <c r="C258" s="546">
        <f t="shared" ref="C258:C273" si="22">IF(B258="","-",$D$7)</f>
        <v>74118.749855499453</v>
      </c>
      <c r="D258" s="546">
        <f t="shared" si="21"/>
        <v>27982.16811626179</v>
      </c>
      <c r="E258" s="546">
        <f>IF(B258="","-",SUM($D$18:D258))</f>
        <v>10625361.024720067</v>
      </c>
      <c r="F258" s="546">
        <f t="shared" si="18"/>
        <v>46136.581739237663</v>
      </c>
      <c r="G258" s="546">
        <f>IF(B258="","-",SUM($F$18:F258))</f>
        <v>6495354.2681573192</v>
      </c>
      <c r="H258" s="546">
        <f t="shared" si="19"/>
        <v>7023042.7318426874</v>
      </c>
      <c r="I258" s="465"/>
      <c r="J258" s="466"/>
      <c r="K258" s="466"/>
      <c r="M258" s="466"/>
      <c r="N258" s="466"/>
      <c r="O258" s="466"/>
      <c r="P258" s="466"/>
      <c r="Q258" s="466"/>
      <c r="R258" s="466"/>
      <c r="S258" s="466"/>
      <c r="T258" s="466"/>
      <c r="U258" s="466"/>
      <c r="V258" s="466"/>
    </row>
    <row r="259" spans="1:22" x14ac:dyDescent="0.2">
      <c r="A259" s="466"/>
      <c r="B259" s="530">
        <f t="shared" si="20"/>
        <v>242</v>
      </c>
      <c r="C259" s="546">
        <f t="shared" si="22"/>
        <v>74118.749855499453</v>
      </c>
      <c r="D259" s="546">
        <f t="shared" si="21"/>
        <v>27799.544146877306</v>
      </c>
      <c r="E259" s="546">
        <f>IF(B259="","-",SUM($D$18:D259))</f>
        <v>10653160.568866944</v>
      </c>
      <c r="F259" s="546">
        <f t="shared" si="18"/>
        <v>46319.205708622147</v>
      </c>
      <c r="G259" s="546">
        <f>IF(B259="","-",SUM($F$18:F259))</f>
        <v>6541673.4738659412</v>
      </c>
      <c r="H259" s="546">
        <f t="shared" si="19"/>
        <v>6976723.5261340654</v>
      </c>
      <c r="I259" s="465"/>
      <c r="J259" s="466"/>
      <c r="K259" s="466"/>
      <c r="M259" s="466"/>
      <c r="N259" s="466"/>
      <c r="O259" s="466"/>
      <c r="P259" s="466"/>
      <c r="Q259" s="466"/>
      <c r="R259" s="466"/>
      <c r="S259" s="466"/>
      <c r="T259" s="466"/>
      <c r="U259" s="466"/>
      <c r="V259" s="466"/>
    </row>
    <row r="260" spans="1:22" x14ac:dyDescent="0.2">
      <c r="A260" s="466"/>
      <c r="B260" s="530">
        <f t="shared" si="20"/>
        <v>243</v>
      </c>
      <c r="C260" s="546">
        <f t="shared" si="22"/>
        <v>74118.749855499453</v>
      </c>
      <c r="D260" s="546">
        <f t="shared" si="21"/>
        <v>27616.197290947344</v>
      </c>
      <c r="E260" s="546">
        <f>IF(B260="","-",SUM($D$18:D260))</f>
        <v>10680776.766157892</v>
      </c>
      <c r="F260" s="546">
        <f t="shared" si="18"/>
        <v>46502.552564552112</v>
      </c>
      <c r="G260" s="546">
        <f>IF(B260="","-",SUM($F$18:F260))</f>
        <v>6588176.0264304932</v>
      </c>
      <c r="H260" s="546">
        <f t="shared" si="19"/>
        <v>6930220.9735695133</v>
      </c>
      <c r="I260" s="465"/>
      <c r="J260" s="466"/>
      <c r="K260" s="466"/>
      <c r="M260" s="466"/>
      <c r="N260" s="466"/>
      <c r="O260" s="466"/>
      <c r="P260" s="466"/>
      <c r="Q260" s="466"/>
      <c r="R260" s="466"/>
      <c r="S260" s="466"/>
      <c r="T260" s="466"/>
      <c r="U260" s="466"/>
      <c r="V260" s="466"/>
    </row>
    <row r="261" spans="1:22" x14ac:dyDescent="0.2">
      <c r="A261" s="466"/>
      <c r="B261" s="530">
        <f t="shared" si="20"/>
        <v>244</v>
      </c>
      <c r="C261" s="546">
        <f t="shared" si="22"/>
        <v>74118.749855499453</v>
      </c>
      <c r="D261" s="546">
        <f t="shared" si="21"/>
        <v>27432.124687045991</v>
      </c>
      <c r="E261" s="546">
        <f>IF(B261="","-",SUM($D$18:D261))</f>
        <v>10708208.890844937</v>
      </c>
      <c r="F261" s="546">
        <f t="shared" si="18"/>
        <v>46686.625168453465</v>
      </c>
      <c r="G261" s="546">
        <f>IF(B261="","-",SUM($F$18:F261))</f>
        <v>6634862.6515989471</v>
      </c>
      <c r="H261" s="546">
        <f t="shared" si="19"/>
        <v>6883534.3484010594</v>
      </c>
      <c r="I261" s="465"/>
      <c r="J261" s="466"/>
      <c r="K261" s="466"/>
      <c r="M261" s="466"/>
      <c r="N261" s="466"/>
      <c r="O261" s="466"/>
      <c r="P261" s="466"/>
      <c r="Q261" s="466"/>
      <c r="R261" s="466"/>
      <c r="S261" s="466"/>
      <c r="T261" s="466"/>
      <c r="U261" s="466"/>
      <c r="V261" s="466"/>
    </row>
    <row r="262" spans="1:22" x14ac:dyDescent="0.2">
      <c r="A262" s="466"/>
      <c r="B262" s="530">
        <f t="shared" si="20"/>
        <v>245</v>
      </c>
      <c r="C262" s="546">
        <f t="shared" si="22"/>
        <v>74118.749855499453</v>
      </c>
      <c r="D262" s="546">
        <f t="shared" si="21"/>
        <v>27247.323462420864</v>
      </c>
      <c r="E262" s="546">
        <f>IF(B262="","-",SUM($D$18:D262))</f>
        <v>10735456.214307358</v>
      </c>
      <c r="F262" s="546">
        <f t="shared" si="18"/>
        <v>46871.426393078589</v>
      </c>
      <c r="G262" s="546">
        <f>IF(B262="","-",SUM($F$18:F262))</f>
        <v>6681734.0779920258</v>
      </c>
      <c r="H262" s="546">
        <f t="shared" si="19"/>
        <v>6836662.9220079808</v>
      </c>
      <c r="I262" s="465"/>
      <c r="J262" s="466"/>
      <c r="K262" s="466"/>
      <c r="M262" s="466"/>
      <c r="N262" s="466"/>
      <c r="O262" s="466"/>
      <c r="P262" s="466"/>
      <c r="Q262" s="466"/>
      <c r="R262" s="466"/>
      <c r="S262" s="466"/>
      <c r="T262" s="466"/>
      <c r="U262" s="466"/>
      <c r="V262" s="466"/>
    </row>
    <row r="263" spans="1:22" x14ac:dyDescent="0.2">
      <c r="A263" s="466"/>
      <c r="B263" s="530">
        <f t="shared" si="20"/>
        <v>246</v>
      </c>
      <c r="C263" s="546">
        <f t="shared" si="22"/>
        <v>74118.749855499453</v>
      </c>
      <c r="D263" s="546">
        <f t="shared" si="21"/>
        <v>27061.790732948259</v>
      </c>
      <c r="E263" s="546">
        <f>IF(B263="","-",SUM($D$18:D263))</f>
        <v>10762518.005040307</v>
      </c>
      <c r="F263" s="546">
        <f t="shared" si="18"/>
        <v>47056.959122551198</v>
      </c>
      <c r="G263" s="546">
        <f>IF(B263="","-",SUM($F$18:F263))</f>
        <v>6728791.0371145774</v>
      </c>
      <c r="H263" s="546">
        <f t="shared" si="19"/>
        <v>6789605.9628854292</v>
      </c>
      <c r="I263" s="465"/>
      <c r="J263" s="466"/>
      <c r="K263" s="466"/>
      <c r="M263" s="466"/>
      <c r="N263" s="466"/>
      <c r="O263" s="466"/>
      <c r="P263" s="466"/>
      <c r="Q263" s="466"/>
      <c r="R263" s="466"/>
      <c r="S263" s="466"/>
      <c r="T263" s="466"/>
      <c r="U263" s="466"/>
      <c r="V263" s="466"/>
    </row>
    <row r="264" spans="1:22" x14ac:dyDescent="0.2">
      <c r="A264" s="466"/>
      <c r="B264" s="530">
        <f t="shared" si="20"/>
        <v>247</v>
      </c>
      <c r="C264" s="546">
        <f t="shared" si="22"/>
        <v>74118.749855499453</v>
      </c>
      <c r="D264" s="546">
        <f t="shared" si="21"/>
        <v>26875.523603088161</v>
      </c>
      <c r="E264" s="546">
        <f>IF(B264="","-",SUM($D$18:D264))</f>
        <v>10789393.528643394</v>
      </c>
      <c r="F264" s="546">
        <f t="shared" si="18"/>
        <v>47243.226252411288</v>
      </c>
      <c r="G264" s="546">
        <f>IF(B264="","-",SUM($F$18:F264))</f>
        <v>6776034.2633669889</v>
      </c>
      <c r="H264" s="546">
        <f t="shared" si="19"/>
        <v>6742362.7366330177</v>
      </c>
      <c r="I264" s="465"/>
      <c r="J264" s="466"/>
      <c r="K264" s="466"/>
      <c r="M264" s="466"/>
      <c r="N264" s="466"/>
      <c r="O264" s="466"/>
      <c r="P264" s="466"/>
      <c r="Q264" s="466"/>
      <c r="R264" s="466"/>
      <c r="S264" s="466"/>
      <c r="T264" s="466"/>
      <c r="U264" s="466"/>
      <c r="V264" s="466"/>
    </row>
    <row r="265" spans="1:22" x14ac:dyDescent="0.2">
      <c r="A265" s="466"/>
      <c r="B265" s="530">
        <f t="shared" si="20"/>
        <v>248</v>
      </c>
      <c r="C265" s="546">
        <f t="shared" si="22"/>
        <v>74118.749855499453</v>
      </c>
      <c r="D265" s="546">
        <f t="shared" si="21"/>
        <v>26688.519165839032</v>
      </c>
      <c r="E265" s="546">
        <f>IF(B265="","-",SUM($D$18:D265))</f>
        <v>10816082.047809232</v>
      </c>
      <c r="F265" s="546">
        <f t="shared" si="18"/>
        <v>47430.23068966042</v>
      </c>
      <c r="G265" s="546">
        <f>IF(B265="","-",SUM($F$18:F265))</f>
        <v>6823464.4940566495</v>
      </c>
      <c r="H265" s="546">
        <f t="shared" si="19"/>
        <v>6694932.505943357</v>
      </c>
      <c r="I265" s="465"/>
      <c r="J265" s="466"/>
      <c r="K265" s="466"/>
      <c r="M265" s="466"/>
      <c r="N265" s="466"/>
      <c r="O265" s="466"/>
      <c r="P265" s="466"/>
      <c r="Q265" s="466"/>
      <c r="R265" s="466"/>
      <c r="S265" s="466"/>
      <c r="T265" s="466"/>
      <c r="U265" s="466"/>
      <c r="V265" s="466"/>
    </row>
    <row r="266" spans="1:22" x14ac:dyDescent="0.2">
      <c r="A266" s="466"/>
      <c r="B266" s="530">
        <f t="shared" si="20"/>
        <v>249</v>
      </c>
      <c r="C266" s="546">
        <f t="shared" si="22"/>
        <v>74118.749855499453</v>
      </c>
      <c r="D266" s="546">
        <f t="shared" si="21"/>
        <v>26500.774502692457</v>
      </c>
      <c r="E266" s="546">
        <f>IF(B266="","-",SUM($D$18:D266))</f>
        <v>10842582.822311925</v>
      </c>
      <c r="F266" s="546">
        <f t="shared" si="18"/>
        <v>47617.975352807</v>
      </c>
      <c r="G266" s="546">
        <f>IF(B266="","-",SUM($F$18:F266))</f>
        <v>6871082.4694094565</v>
      </c>
      <c r="H266" s="546">
        <f t="shared" si="19"/>
        <v>6647314.53059055</v>
      </c>
      <c r="I266" s="465"/>
      <c r="J266" s="466"/>
      <c r="K266" s="466"/>
      <c r="M266" s="466"/>
      <c r="N266" s="466"/>
      <c r="O266" s="466"/>
      <c r="P266" s="466"/>
      <c r="Q266" s="466"/>
      <c r="R266" s="466"/>
      <c r="S266" s="466"/>
      <c r="T266" s="466"/>
      <c r="U266" s="466"/>
      <c r="V266" s="466"/>
    </row>
    <row r="267" spans="1:22" x14ac:dyDescent="0.2">
      <c r="A267" s="466"/>
      <c r="B267" s="530">
        <f t="shared" si="20"/>
        <v>250</v>
      </c>
      <c r="C267" s="546">
        <f t="shared" si="22"/>
        <v>74118.749855499453</v>
      </c>
      <c r="D267" s="546">
        <f t="shared" si="21"/>
        <v>26312.286683587598</v>
      </c>
      <c r="E267" s="546">
        <f>IF(B267="","-",SUM($D$18:D267))</f>
        <v>10868895.108995512</v>
      </c>
      <c r="F267" s="546">
        <f t="shared" si="18"/>
        <v>47806.463171911855</v>
      </c>
      <c r="G267" s="546">
        <f>IF(B267="","-",SUM($F$18:F267))</f>
        <v>6918888.9325813679</v>
      </c>
      <c r="H267" s="546">
        <f t="shared" si="19"/>
        <v>6599508.0674186386</v>
      </c>
      <c r="I267" s="465"/>
      <c r="J267" s="466"/>
      <c r="K267" s="466"/>
      <c r="M267" s="466"/>
      <c r="N267" s="466"/>
      <c r="O267" s="466"/>
      <c r="P267" s="466"/>
      <c r="Q267" s="466"/>
      <c r="R267" s="466"/>
      <c r="S267" s="466"/>
      <c r="T267" s="466"/>
      <c r="U267" s="466"/>
      <c r="V267" s="466"/>
    </row>
    <row r="268" spans="1:22" x14ac:dyDescent="0.2">
      <c r="A268" s="466"/>
      <c r="B268" s="530">
        <f t="shared" si="20"/>
        <v>251</v>
      </c>
      <c r="C268" s="546">
        <f t="shared" si="22"/>
        <v>74118.749855499453</v>
      </c>
      <c r="D268" s="546">
        <f t="shared" si="21"/>
        <v>26123.052766865447</v>
      </c>
      <c r="E268" s="546">
        <f>IF(B268="","-",SUM($D$18:D268))</f>
        <v>10895018.161762377</v>
      </c>
      <c r="F268" s="546">
        <f t="shared" si="18"/>
        <v>47995.697088634006</v>
      </c>
      <c r="G268" s="546">
        <f>IF(B268="","-",SUM($F$18:F268))</f>
        <v>6966884.6296700016</v>
      </c>
      <c r="H268" s="546">
        <f t="shared" si="19"/>
        <v>6551512.370330005</v>
      </c>
      <c r="I268" s="465"/>
      <c r="J268" s="466"/>
      <c r="K268" s="466"/>
      <c r="M268" s="466"/>
      <c r="N268" s="466"/>
      <c r="O268" s="466"/>
      <c r="P268" s="466"/>
      <c r="Q268" s="466"/>
      <c r="R268" s="466"/>
      <c r="S268" s="466"/>
      <c r="T268" s="466"/>
      <c r="U268" s="466"/>
      <c r="V268" s="466"/>
    </row>
    <row r="269" spans="1:22" x14ac:dyDescent="0.2">
      <c r="A269" s="466"/>
      <c r="B269" s="530">
        <f t="shared" si="20"/>
        <v>252</v>
      </c>
      <c r="C269" s="546">
        <f t="shared" si="22"/>
        <v>74118.749855499453</v>
      </c>
      <c r="D269" s="546">
        <f t="shared" si="21"/>
        <v>25933.06979922294</v>
      </c>
      <c r="E269" s="546">
        <f>IF(B269="","-",SUM($D$18:D269))</f>
        <v>10920951.231561599</v>
      </c>
      <c r="F269" s="546">
        <f t="shared" si="18"/>
        <v>48185.680056276513</v>
      </c>
      <c r="G269" s="546">
        <f>IF(B269="","-",SUM($F$18:F269))</f>
        <v>7015070.3097262783</v>
      </c>
      <c r="H269" s="546">
        <f t="shared" si="19"/>
        <v>6503326.6902737282</v>
      </c>
      <c r="I269" s="465"/>
      <c r="J269" s="466"/>
      <c r="K269" s="466"/>
      <c r="M269" s="466"/>
      <c r="N269" s="466"/>
      <c r="O269" s="466"/>
      <c r="P269" s="466"/>
      <c r="Q269" s="466"/>
      <c r="R269" s="466"/>
      <c r="S269" s="466"/>
      <c r="T269" s="466"/>
      <c r="U269" s="466"/>
      <c r="V269" s="466"/>
    </row>
    <row r="270" spans="1:22" x14ac:dyDescent="0.2">
      <c r="A270" s="466"/>
      <c r="B270" s="530">
        <f t="shared" si="20"/>
        <v>253</v>
      </c>
      <c r="C270" s="546">
        <f t="shared" si="22"/>
        <v>74118.749855499453</v>
      </c>
      <c r="D270" s="546">
        <f t="shared" si="21"/>
        <v>25742.334815666843</v>
      </c>
      <c r="E270" s="546">
        <f>IF(B270="","-",SUM($D$18:D270))</f>
        <v>10946693.566377265</v>
      </c>
      <c r="F270" s="546">
        <f t="shared" si="18"/>
        <v>48376.415039832609</v>
      </c>
      <c r="G270" s="546">
        <f>IF(B270="","-",SUM($F$18:F270))</f>
        <v>7063446.724766111</v>
      </c>
      <c r="H270" s="546">
        <f t="shared" si="19"/>
        <v>6454950.2752338955</v>
      </c>
      <c r="I270" s="465"/>
      <c r="J270" s="466"/>
      <c r="K270" s="466"/>
      <c r="M270" s="466"/>
      <c r="N270" s="466"/>
      <c r="O270" s="466"/>
      <c r="P270" s="466"/>
      <c r="Q270" s="466"/>
      <c r="R270" s="466"/>
      <c r="S270" s="466"/>
      <c r="T270" s="466"/>
      <c r="U270" s="466"/>
      <c r="V270" s="466"/>
    </row>
    <row r="271" spans="1:22" x14ac:dyDescent="0.2">
      <c r="A271" s="466"/>
      <c r="B271" s="530">
        <f t="shared" si="20"/>
        <v>254</v>
      </c>
      <c r="C271" s="546">
        <f t="shared" si="22"/>
        <v>74118.749855499453</v>
      </c>
      <c r="D271" s="546">
        <f t="shared" si="21"/>
        <v>25550.844839467507</v>
      </c>
      <c r="E271" s="546">
        <f>IF(B271="","-",SUM($D$18:D271))</f>
        <v>10972244.411216732</v>
      </c>
      <c r="F271" s="546">
        <f t="shared" si="18"/>
        <v>48567.905016031946</v>
      </c>
      <c r="G271" s="546">
        <f>IF(B271="","-",SUM($F$18:F271))</f>
        <v>7112014.629782143</v>
      </c>
      <c r="H271" s="546">
        <f t="shared" si="19"/>
        <v>6406382.3702178635</v>
      </c>
      <c r="I271" s="465"/>
      <c r="J271" s="466"/>
      <c r="K271" s="466"/>
      <c r="M271" s="466"/>
      <c r="N271" s="466"/>
      <c r="O271" s="466"/>
      <c r="P271" s="466"/>
      <c r="Q271" s="466"/>
      <c r="R271" s="466"/>
      <c r="S271" s="466"/>
      <c r="T271" s="466"/>
      <c r="U271" s="466"/>
      <c r="V271" s="466"/>
    </row>
    <row r="272" spans="1:22" x14ac:dyDescent="0.2">
      <c r="A272" s="466"/>
      <c r="B272" s="530">
        <f t="shared" si="20"/>
        <v>255</v>
      </c>
      <c r="C272" s="546">
        <f t="shared" si="22"/>
        <v>74118.749855499453</v>
      </c>
      <c r="D272" s="546">
        <f t="shared" si="21"/>
        <v>25358.596882112379</v>
      </c>
      <c r="E272" s="546">
        <f>IF(B272="","-",SUM($D$18:D272))</f>
        <v>10997603.008098844</v>
      </c>
      <c r="F272" s="546">
        <f t="shared" si="18"/>
        <v>48760.15297338707</v>
      </c>
      <c r="G272" s="546">
        <f>IF(B272="","-",SUM($F$18:F272))</f>
        <v>7160774.7827555304</v>
      </c>
      <c r="H272" s="546">
        <f t="shared" si="19"/>
        <v>6357622.2172444761</v>
      </c>
      <c r="I272" s="465"/>
      <c r="J272" s="466"/>
      <c r="K272" s="466"/>
      <c r="M272" s="466"/>
      <c r="N272" s="466"/>
      <c r="O272" s="466"/>
      <c r="P272" s="466"/>
      <c r="Q272" s="466"/>
      <c r="R272" s="466"/>
      <c r="S272" s="466"/>
      <c r="T272" s="466"/>
      <c r="U272" s="466"/>
      <c r="V272" s="466"/>
    </row>
    <row r="273" spans="1:22" x14ac:dyDescent="0.2">
      <c r="A273" s="466"/>
      <c r="B273" s="530">
        <f t="shared" si="20"/>
        <v>256</v>
      </c>
      <c r="C273" s="546">
        <f t="shared" si="22"/>
        <v>74118.749855499453</v>
      </c>
      <c r="D273" s="546">
        <f t="shared" si="21"/>
        <v>25165.587943259387</v>
      </c>
      <c r="E273" s="546">
        <f>IF(B273="","-",SUM($D$18:D273))</f>
        <v>11022768.596042104</v>
      </c>
      <c r="F273" s="546">
        <f t="shared" si="18"/>
        <v>48953.161912240066</v>
      </c>
      <c r="G273" s="546">
        <f>IF(B273="","-",SUM($F$18:F273))</f>
        <v>7209727.9446677705</v>
      </c>
      <c r="H273" s="546">
        <f t="shared" si="19"/>
        <v>6308669.055332236</v>
      </c>
      <c r="I273" s="465"/>
      <c r="J273" s="466"/>
      <c r="K273" s="466"/>
      <c r="M273" s="466"/>
      <c r="N273" s="466"/>
      <c r="O273" s="466"/>
      <c r="P273" s="466"/>
      <c r="Q273" s="466"/>
      <c r="R273" s="466"/>
      <c r="S273" s="466"/>
      <c r="T273" s="466"/>
      <c r="U273" s="466"/>
      <c r="V273" s="466"/>
    </row>
    <row r="274" spans="1:22" x14ac:dyDescent="0.2">
      <c r="A274" s="466"/>
      <c r="B274" s="530">
        <f t="shared" si="20"/>
        <v>257</v>
      </c>
      <c r="C274" s="546">
        <f t="shared" ref="C274:C337" si="23">IF(B274="","-",$D$7)</f>
        <v>74118.749855499453</v>
      </c>
      <c r="D274" s="546">
        <f t="shared" si="21"/>
        <v>24971.815010690101</v>
      </c>
      <c r="E274" s="546">
        <f>IF(B274="","-",SUM($D$18:D274))</f>
        <v>11047740.411052793</v>
      </c>
      <c r="F274" s="546">
        <f t="shared" ref="F274:F337" si="24">IF(B274="","-",C274-D274)</f>
        <v>49146.934844809351</v>
      </c>
      <c r="G274" s="546">
        <f>IF(B274="","-",SUM($F$18:F274))</f>
        <v>7258874.8795125801</v>
      </c>
      <c r="H274" s="546">
        <f t="shared" ref="H274:H337" si="25">IF(B274="","-",H273-F274)</f>
        <v>6259522.1204874264</v>
      </c>
      <c r="I274" s="465"/>
      <c r="J274" s="466"/>
      <c r="K274" s="466"/>
      <c r="M274" s="466"/>
      <c r="N274" s="466"/>
      <c r="O274" s="466"/>
      <c r="P274" s="466"/>
      <c r="Q274" s="466"/>
      <c r="R274" s="466"/>
      <c r="S274" s="466"/>
      <c r="T274" s="466"/>
      <c r="U274" s="466"/>
      <c r="V274" s="466"/>
    </row>
    <row r="275" spans="1:22" x14ac:dyDescent="0.2">
      <c r="A275" s="466"/>
      <c r="B275" s="530">
        <f t="shared" ref="B275:B338" si="26">IF(B274&gt;=$D$5*12,"",B274+1)</f>
        <v>258</v>
      </c>
      <c r="C275" s="546">
        <f t="shared" si="23"/>
        <v>74118.749855499453</v>
      </c>
      <c r="D275" s="546">
        <f t="shared" ref="D275:D338" si="27">IF(B275="","-",$D$4/12*H274)</f>
        <v>24777.275060262731</v>
      </c>
      <c r="E275" s="546">
        <f>IF(B275="","-",SUM($D$18:D275))</f>
        <v>11072517.686113056</v>
      </c>
      <c r="F275" s="546">
        <f t="shared" si="24"/>
        <v>49341.474795236718</v>
      </c>
      <c r="G275" s="546">
        <f>IF(B275="","-",SUM($F$18:F275))</f>
        <v>7308216.3543078173</v>
      </c>
      <c r="H275" s="546">
        <f t="shared" si="25"/>
        <v>6210180.6456921902</v>
      </c>
      <c r="I275" s="465"/>
      <c r="J275" s="466"/>
      <c r="K275" s="466"/>
      <c r="M275" s="466"/>
      <c r="N275" s="466"/>
      <c r="O275" s="466"/>
      <c r="P275" s="466"/>
      <c r="Q275" s="466"/>
      <c r="R275" s="466"/>
      <c r="S275" s="466"/>
      <c r="T275" s="466"/>
      <c r="U275" s="466"/>
      <c r="V275" s="466"/>
    </row>
    <row r="276" spans="1:22" x14ac:dyDescent="0.2">
      <c r="A276" s="466"/>
      <c r="B276" s="530">
        <f t="shared" si="26"/>
        <v>259</v>
      </c>
      <c r="C276" s="546">
        <f t="shared" si="23"/>
        <v>74118.749855499453</v>
      </c>
      <c r="D276" s="546">
        <f t="shared" si="27"/>
        <v>24581.965055864923</v>
      </c>
      <c r="E276" s="546">
        <f>IF(B276="","-",SUM($D$18:D276))</f>
        <v>11097099.65116892</v>
      </c>
      <c r="F276" s="546">
        <f t="shared" si="24"/>
        <v>49536.78479963453</v>
      </c>
      <c r="G276" s="546">
        <f>IF(B276="","-",SUM($F$18:F276))</f>
        <v>7357753.1391074518</v>
      </c>
      <c r="H276" s="546">
        <f t="shared" si="25"/>
        <v>6160643.8608925557</v>
      </c>
      <c r="I276" s="465"/>
      <c r="J276" s="466"/>
      <c r="K276" s="466"/>
      <c r="M276" s="466"/>
      <c r="N276" s="466"/>
      <c r="O276" s="466"/>
      <c r="P276" s="466"/>
      <c r="Q276" s="466"/>
      <c r="R276" s="466"/>
      <c r="S276" s="466"/>
      <c r="T276" s="466"/>
      <c r="U276" s="466"/>
      <c r="V276" s="466"/>
    </row>
    <row r="277" spans="1:22" x14ac:dyDescent="0.2">
      <c r="A277" s="466"/>
      <c r="B277" s="530">
        <f t="shared" si="26"/>
        <v>260</v>
      </c>
      <c r="C277" s="546">
        <f t="shared" si="23"/>
        <v>74118.749855499453</v>
      </c>
      <c r="D277" s="546">
        <f t="shared" si="27"/>
        <v>24385.881949366369</v>
      </c>
      <c r="E277" s="546">
        <f>IF(B277="","-",SUM($D$18:D277))</f>
        <v>11121485.533118287</v>
      </c>
      <c r="F277" s="546">
        <f t="shared" si="24"/>
        <v>49732.867906133084</v>
      </c>
      <c r="G277" s="546">
        <f>IF(B277="","-",SUM($F$18:F277))</f>
        <v>7407486.0070135845</v>
      </c>
      <c r="H277" s="546">
        <f t="shared" si="25"/>
        <v>6110910.992986423</v>
      </c>
      <c r="I277" s="465"/>
      <c r="J277" s="466"/>
      <c r="K277" s="466"/>
      <c r="M277" s="466"/>
      <c r="N277" s="466"/>
      <c r="O277" s="466"/>
      <c r="P277" s="466"/>
      <c r="Q277" s="466"/>
      <c r="R277" s="466"/>
      <c r="S277" s="466"/>
      <c r="T277" s="466"/>
      <c r="U277" s="466"/>
      <c r="V277" s="466"/>
    </row>
    <row r="278" spans="1:22" x14ac:dyDescent="0.2">
      <c r="A278" s="466"/>
      <c r="B278" s="530">
        <f t="shared" si="26"/>
        <v>261</v>
      </c>
      <c r="C278" s="546">
        <f t="shared" si="23"/>
        <v>74118.749855499453</v>
      </c>
      <c r="D278" s="546">
        <f t="shared" si="27"/>
        <v>24189.022680571259</v>
      </c>
      <c r="E278" s="546">
        <f>IF(B278="","-",SUM($D$18:D278))</f>
        <v>11145674.555798858</v>
      </c>
      <c r="F278" s="546">
        <f t="shared" si="24"/>
        <v>49929.727174928194</v>
      </c>
      <c r="G278" s="546">
        <f>IF(B278="","-",SUM($F$18:F278))</f>
        <v>7457415.7341885129</v>
      </c>
      <c r="H278" s="546">
        <f t="shared" si="25"/>
        <v>6060981.2658114946</v>
      </c>
      <c r="I278" s="465"/>
      <c r="J278" s="466"/>
      <c r="K278" s="466"/>
      <c r="M278" s="466"/>
      <c r="N278" s="466"/>
      <c r="O278" s="466"/>
      <c r="P278" s="466"/>
      <c r="Q278" s="466"/>
      <c r="R278" s="466"/>
      <c r="S278" s="466"/>
      <c r="T278" s="466"/>
      <c r="U278" s="466"/>
      <c r="V278" s="466"/>
    </row>
    <row r="279" spans="1:22" x14ac:dyDescent="0.2">
      <c r="A279" s="466"/>
      <c r="B279" s="530">
        <f t="shared" si="26"/>
        <v>262</v>
      </c>
      <c r="C279" s="546">
        <f t="shared" si="23"/>
        <v>74118.749855499453</v>
      </c>
      <c r="D279" s="546">
        <f t="shared" si="27"/>
        <v>23991.384177170501</v>
      </c>
      <c r="E279" s="546">
        <f>IF(B279="","-",SUM($D$18:D279))</f>
        <v>11169665.939976029</v>
      </c>
      <c r="F279" s="546">
        <f t="shared" si="24"/>
        <v>50127.365678328948</v>
      </c>
      <c r="G279" s="546">
        <f>IF(B279="","-",SUM($F$18:F279))</f>
        <v>7507543.0998668419</v>
      </c>
      <c r="H279" s="546">
        <f t="shared" si="25"/>
        <v>6010853.9001331655</v>
      </c>
      <c r="I279" s="465"/>
      <c r="J279" s="466"/>
      <c r="K279" s="466"/>
      <c r="M279" s="466"/>
      <c r="N279" s="466"/>
      <c r="O279" s="466"/>
      <c r="P279" s="466"/>
      <c r="Q279" s="466"/>
      <c r="R279" s="466"/>
      <c r="S279" s="466"/>
      <c r="T279" s="466"/>
      <c r="U279" s="466"/>
      <c r="V279" s="466"/>
    </row>
    <row r="280" spans="1:22" x14ac:dyDescent="0.2">
      <c r="A280" s="466"/>
      <c r="B280" s="530">
        <f t="shared" si="26"/>
        <v>263</v>
      </c>
      <c r="C280" s="546">
        <f t="shared" si="23"/>
        <v>74118.749855499453</v>
      </c>
      <c r="D280" s="546">
        <f t="shared" si="27"/>
        <v>23792.963354693784</v>
      </c>
      <c r="E280" s="546">
        <f>IF(B280="","-",SUM($D$18:D280))</f>
        <v>11193458.903330723</v>
      </c>
      <c r="F280" s="546">
        <f t="shared" si="24"/>
        <v>50325.786500805669</v>
      </c>
      <c r="G280" s="546">
        <f>IF(B280="","-",SUM($F$18:F280))</f>
        <v>7557868.8863676479</v>
      </c>
      <c r="H280" s="546">
        <f t="shared" si="25"/>
        <v>5960528.1136323595</v>
      </c>
      <c r="I280" s="465"/>
      <c r="J280" s="466"/>
      <c r="K280" s="466"/>
      <c r="M280" s="466"/>
      <c r="N280" s="466"/>
      <c r="O280" s="466"/>
      <c r="P280" s="466"/>
      <c r="Q280" s="466"/>
      <c r="R280" s="466"/>
      <c r="S280" s="466"/>
      <c r="T280" s="466"/>
      <c r="U280" s="466"/>
      <c r="V280" s="466"/>
    </row>
    <row r="281" spans="1:22" x14ac:dyDescent="0.2">
      <c r="A281" s="466"/>
      <c r="B281" s="530">
        <f t="shared" si="26"/>
        <v>264</v>
      </c>
      <c r="C281" s="546">
        <f t="shared" si="23"/>
        <v>74118.749855499453</v>
      </c>
      <c r="D281" s="546">
        <f t="shared" si="27"/>
        <v>23593.757116461424</v>
      </c>
      <c r="E281" s="546">
        <f>IF(B281="","-",SUM($D$18:D281))</f>
        <v>11217052.660447184</v>
      </c>
      <c r="F281" s="546">
        <f t="shared" si="24"/>
        <v>50524.992739038033</v>
      </c>
      <c r="G281" s="546">
        <f>IF(B281="","-",SUM($F$18:F281))</f>
        <v>7608393.8791066855</v>
      </c>
      <c r="H281" s="546">
        <f t="shared" si="25"/>
        <v>5910003.1208933219</v>
      </c>
      <c r="I281" s="465"/>
      <c r="J281" s="466"/>
      <c r="K281" s="466"/>
      <c r="M281" s="466"/>
      <c r="N281" s="466"/>
      <c r="O281" s="466"/>
      <c r="P281" s="466"/>
      <c r="Q281" s="466"/>
      <c r="R281" s="466"/>
      <c r="S281" s="466"/>
      <c r="T281" s="466"/>
      <c r="U281" s="466"/>
      <c r="V281" s="466"/>
    </row>
    <row r="282" spans="1:22" x14ac:dyDescent="0.2">
      <c r="A282" s="466"/>
      <c r="B282" s="530">
        <f t="shared" si="26"/>
        <v>265</v>
      </c>
      <c r="C282" s="546">
        <f t="shared" si="23"/>
        <v>74118.749855499453</v>
      </c>
      <c r="D282" s="546">
        <f t="shared" si="27"/>
        <v>23393.762353536069</v>
      </c>
      <c r="E282" s="546">
        <f>IF(B282="","-",SUM($D$18:D282))</f>
        <v>11240446.42280072</v>
      </c>
      <c r="F282" s="546">
        <f t="shared" si="24"/>
        <v>50724.987501963384</v>
      </c>
      <c r="G282" s="546">
        <f>IF(B282="","-",SUM($F$18:F282))</f>
        <v>7659118.8666086486</v>
      </c>
      <c r="H282" s="546">
        <f t="shared" si="25"/>
        <v>5859278.1333913589</v>
      </c>
      <c r="I282" s="465"/>
      <c r="J282" s="466"/>
      <c r="K282" s="466"/>
      <c r="M282" s="466"/>
      <c r="N282" s="466"/>
      <c r="O282" s="466"/>
      <c r="P282" s="466"/>
      <c r="Q282" s="466"/>
      <c r="R282" s="466"/>
      <c r="S282" s="466"/>
      <c r="T282" s="466"/>
      <c r="U282" s="466"/>
      <c r="V282" s="466"/>
    </row>
    <row r="283" spans="1:22" x14ac:dyDescent="0.2">
      <c r="A283" s="466"/>
      <c r="B283" s="530">
        <f t="shared" si="26"/>
        <v>266</v>
      </c>
      <c r="C283" s="546">
        <f t="shared" si="23"/>
        <v>74118.749855499453</v>
      </c>
      <c r="D283" s="546">
        <f t="shared" si="27"/>
        <v>23192.97594467413</v>
      </c>
      <c r="E283" s="546">
        <f>IF(B283="","-",SUM($D$18:D283))</f>
        <v>11263639.398745393</v>
      </c>
      <c r="F283" s="546">
        <f t="shared" si="24"/>
        <v>50925.773910825323</v>
      </c>
      <c r="G283" s="546">
        <f>IF(B283="","-",SUM($F$18:F283))</f>
        <v>7710044.6405194737</v>
      </c>
      <c r="H283" s="546">
        <f t="shared" si="25"/>
        <v>5808352.3594805337</v>
      </c>
      <c r="I283" s="465"/>
      <c r="J283" s="466"/>
      <c r="K283" s="466"/>
      <c r="M283" s="466"/>
      <c r="N283" s="466"/>
      <c r="O283" s="466"/>
      <c r="P283" s="466"/>
      <c r="Q283" s="466"/>
      <c r="R283" s="466"/>
      <c r="S283" s="466"/>
      <c r="T283" s="466"/>
      <c r="U283" s="466"/>
      <c r="V283" s="466"/>
    </row>
    <row r="284" spans="1:22" x14ac:dyDescent="0.2">
      <c r="A284" s="466"/>
      <c r="B284" s="530">
        <f t="shared" si="26"/>
        <v>267</v>
      </c>
      <c r="C284" s="546">
        <f t="shared" si="23"/>
        <v>74118.749855499453</v>
      </c>
      <c r="D284" s="546">
        <f t="shared" si="27"/>
        <v>22991.394756277114</v>
      </c>
      <c r="E284" s="546">
        <f>IF(B284="","-",SUM($D$18:D284))</f>
        <v>11286630.793501671</v>
      </c>
      <c r="F284" s="546">
        <f t="shared" si="24"/>
        <v>51127.355099222339</v>
      </c>
      <c r="G284" s="546">
        <f>IF(B284="","-",SUM($F$18:F284))</f>
        <v>7761171.9956186963</v>
      </c>
      <c r="H284" s="546">
        <f t="shared" si="25"/>
        <v>5757225.0043813111</v>
      </c>
      <c r="I284" s="465"/>
      <c r="J284" s="466"/>
      <c r="K284" s="466"/>
      <c r="M284" s="466"/>
      <c r="N284" s="466"/>
      <c r="O284" s="466"/>
      <c r="P284" s="466"/>
      <c r="Q284" s="466"/>
      <c r="R284" s="466"/>
      <c r="S284" s="466"/>
      <c r="T284" s="466"/>
      <c r="U284" s="466"/>
      <c r="V284" s="466"/>
    </row>
    <row r="285" spans="1:22" x14ac:dyDescent="0.2">
      <c r="A285" s="466"/>
      <c r="B285" s="530">
        <f t="shared" si="26"/>
        <v>268</v>
      </c>
      <c r="C285" s="546">
        <f t="shared" si="23"/>
        <v>74118.749855499453</v>
      </c>
      <c r="D285" s="546">
        <f t="shared" si="27"/>
        <v>22789.015642342692</v>
      </c>
      <c r="E285" s="546">
        <f>IF(B285="","-",SUM($D$18:D285))</f>
        <v>11309419.809144014</v>
      </c>
      <c r="F285" s="546">
        <f t="shared" si="24"/>
        <v>51329.734213156757</v>
      </c>
      <c r="G285" s="546">
        <f>IF(B285="","-",SUM($F$18:F285))</f>
        <v>7812501.729831853</v>
      </c>
      <c r="H285" s="546">
        <f t="shared" si="25"/>
        <v>5705895.2701681545</v>
      </c>
      <c r="I285" s="465"/>
      <c r="J285" s="466"/>
      <c r="K285" s="466"/>
      <c r="M285" s="466"/>
      <c r="N285" s="466"/>
      <c r="O285" s="466"/>
      <c r="P285" s="466"/>
      <c r="Q285" s="466"/>
      <c r="R285" s="466"/>
      <c r="S285" s="466"/>
      <c r="T285" s="466"/>
      <c r="U285" s="466"/>
      <c r="V285" s="466"/>
    </row>
    <row r="286" spans="1:22" x14ac:dyDescent="0.2">
      <c r="A286" s="466"/>
      <c r="B286" s="530">
        <f t="shared" si="26"/>
        <v>269</v>
      </c>
      <c r="C286" s="546">
        <f t="shared" si="23"/>
        <v>74118.749855499453</v>
      </c>
      <c r="D286" s="546">
        <f t="shared" si="27"/>
        <v>22585.835444415614</v>
      </c>
      <c r="E286" s="546">
        <f>IF(B286="","-",SUM($D$18:D286))</f>
        <v>11332005.644588429</v>
      </c>
      <c r="F286" s="546">
        <f t="shared" si="24"/>
        <v>51532.914411083839</v>
      </c>
      <c r="G286" s="546">
        <f>IF(B286="","-",SUM($F$18:F286))</f>
        <v>7864034.6442429367</v>
      </c>
      <c r="H286" s="546">
        <f t="shared" si="25"/>
        <v>5654362.3557570707</v>
      </c>
      <c r="I286" s="465"/>
      <c r="J286" s="466"/>
      <c r="K286" s="466"/>
      <c r="M286" s="466"/>
      <c r="N286" s="466"/>
      <c r="O286" s="466"/>
      <c r="P286" s="466"/>
      <c r="Q286" s="466"/>
      <c r="R286" s="466"/>
      <c r="S286" s="466"/>
      <c r="T286" s="466"/>
      <c r="U286" s="466"/>
      <c r="V286" s="466"/>
    </row>
    <row r="287" spans="1:22" x14ac:dyDescent="0.2">
      <c r="A287" s="466"/>
      <c r="B287" s="530">
        <f t="shared" si="26"/>
        <v>270</v>
      </c>
      <c r="C287" s="546">
        <f t="shared" si="23"/>
        <v>74118.749855499453</v>
      </c>
      <c r="D287" s="546">
        <f t="shared" si="27"/>
        <v>22381.850991538406</v>
      </c>
      <c r="E287" s="546">
        <f>IF(B287="","-",SUM($D$18:D287))</f>
        <v>11354387.495579967</v>
      </c>
      <c r="F287" s="546">
        <f t="shared" si="24"/>
        <v>51736.898863961047</v>
      </c>
      <c r="G287" s="546">
        <f>IF(B287="","-",SUM($F$18:F287))</f>
        <v>7915771.5431068977</v>
      </c>
      <c r="H287" s="546">
        <f t="shared" si="25"/>
        <v>5602625.4568931097</v>
      </c>
      <c r="I287" s="465"/>
      <c r="J287" s="466"/>
      <c r="K287" s="466"/>
      <c r="M287" s="466"/>
      <c r="N287" s="466"/>
      <c r="O287" s="466"/>
      <c r="P287" s="466"/>
      <c r="Q287" s="466"/>
      <c r="R287" s="466"/>
      <c r="S287" s="466"/>
      <c r="T287" s="466"/>
      <c r="U287" s="466"/>
      <c r="V287" s="466"/>
    </row>
    <row r="288" spans="1:22" x14ac:dyDescent="0.2">
      <c r="A288" s="466"/>
      <c r="B288" s="530">
        <f t="shared" si="26"/>
        <v>271</v>
      </c>
      <c r="C288" s="546">
        <f t="shared" si="23"/>
        <v>74118.749855499453</v>
      </c>
      <c r="D288" s="546">
        <f t="shared" si="27"/>
        <v>22177.059100201895</v>
      </c>
      <c r="E288" s="546">
        <f>IF(B288="","-",SUM($D$18:D288))</f>
        <v>11376564.554680169</v>
      </c>
      <c r="F288" s="546">
        <f t="shared" si="24"/>
        <v>51941.690755297561</v>
      </c>
      <c r="G288" s="546">
        <f>IF(B288="","-",SUM($F$18:F288))</f>
        <v>7967713.2338621952</v>
      </c>
      <c r="H288" s="546">
        <f t="shared" si="25"/>
        <v>5550683.7661378123</v>
      </c>
      <c r="I288" s="465"/>
      <c r="J288" s="466"/>
      <c r="K288" s="466"/>
      <c r="M288" s="466"/>
      <c r="N288" s="466"/>
      <c r="O288" s="466"/>
      <c r="P288" s="466"/>
      <c r="Q288" s="466"/>
      <c r="R288" s="466"/>
      <c r="S288" s="466"/>
      <c r="T288" s="466"/>
      <c r="U288" s="466"/>
      <c r="V288" s="466"/>
    </row>
    <row r="289" spans="1:22" x14ac:dyDescent="0.2">
      <c r="A289" s="466"/>
      <c r="B289" s="530">
        <f t="shared" si="26"/>
        <v>272</v>
      </c>
      <c r="C289" s="546">
        <f t="shared" si="23"/>
        <v>74118.749855499453</v>
      </c>
      <c r="D289" s="546">
        <f t="shared" si="27"/>
        <v>21971.456574295509</v>
      </c>
      <c r="E289" s="546">
        <f>IF(B289="","-",SUM($D$18:D289))</f>
        <v>11398536.011254463</v>
      </c>
      <c r="F289" s="546">
        <f t="shared" si="24"/>
        <v>52147.293281203943</v>
      </c>
      <c r="G289" s="546">
        <f>IF(B289="","-",SUM($F$18:F289))</f>
        <v>8019860.5271433992</v>
      </c>
      <c r="H289" s="546">
        <f t="shared" si="25"/>
        <v>5498536.4728566082</v>
      </c>
      <c r="I289" s="465"/>
      <c r="J289" s="466"/>
      <c r="K289" s="466"/>
      <c r="M289" s="466"/>
      <c r="N289" s="466"/>
      <c r="O289" s="466"/>
      <c r="P289" s="466"/>
      <c r="Q289" s="466"/>
      <c r="R289" s="466"/>
      <c r="S289" s="466"/>
      <c r="T289" s="466"/>
      <c r="U289" s="466"/>
      <c r="V289" s="466"/>
    </row>
    <row r="290" spans="1:22" x14ac:dyDescent="0.2">
      <c r="A290" s="466"/>
      <c r="B290" s="530">
        <f t="shared" si="26"/>
        <v>273</v>
      </c>
      <c r="C290" s="546">
        <f t="shared" si="23"/>
        <v>74118.749855499453</v>
      </c>
      <c r="D290" s="546">
        <f t="shared" si="27"/>
        <v>21765.040205057408</v>
      </c>
      <c r="E290" s="546">
        <f>IF(B290="","-",SUM($D$18:D290))</f>
        <v>11420301.051459521</v>
      </c>
      <c r="F290" s="546">
        <f t="shared" si="24"/>
        <v>52353.709650442048</v>
      </c>
      <c r="G290" s="546">
        <f>IF(B290="","-",SUM($F$18:F290))</f>
        <v>8072214.2367938412</v>
      </c>
      <c r="H290" s="546">
        <f t="shared" si="25"/>
        <v>5446182.7632061662</v>
      </c>
      <c r="I290" s="465"/>
      <c r="J290" s="466"/>
      <c r="K290" s="466"/>
      <c r="M290" s="466"/>
      <c r="N290" s="466"/>
      <c r="O290" s="466"/>
      <c r="P290" s="466"/>
      <c r="Q290" s="466"/>
      <c r="R290" s="466"/>
      <c r="S290" s="466"/>
      <c r="T290" s="466"/>
      <c r="U290" s="466"/>
      <c r="V290" s="466"/>
    </row>
    <row r="291" spans="1:22" x14ac:dyDescent="0.2">
      <c r="A291" s="466"/>
      <c r="B291" s="530">
        <f t="shared" si="26"/>
        <v>274</v>
      </c>
      <c r="C291" s="546">
        <f t="shared" si="23"/>
        <v>74118.749855499453</v>
      </c>
      <c r="D291" s="546">
        <f t="shared" si="27"/>
        <v>21557.80677102441</v>
      </c>
      <c r="E291" s="546">
        <f>IF(B291="","-",SUM($D$18:D291))</f>
        <v>11441858.858230546</v>
      </c>
      <c r="F291" s="546">
        <f t="shared" si="24"/>
        <v>52560.943084475046</v>
      </c>
      <c r="G291" s="546">
        <f>IF(B291="","-",SUM($F$18:F291))</f>
        <v>8124775.1798783159</v>
      </c>
      <c r="H291" s="546">
        <f t="shared" si="25"/>
        <v>5393621.8201216916</v>
      </c>
      <c r="I291" s="465"/>
      <c r="J291" s="466"/>
      <c r="K291" s="466"/>
      <c r="M291" s="466"/>
      <c r="N291" s="466"/>
      <c r="O291" s="466"/>
      <c r="P291" s="466"/>
      <c r="Q291" s="466"/>
      <c r="R291" s="466"/>
      <c r="S291" s="466"/>
      <c r="T291" s="466"/>
      <c r="U291" s="466"/>
      <c r="V291" s="466"/>
    </row>
    <row r="292" spans="1:22" x14ac:dyDescent="0.2">
      <c r="A292" s="466"/>
      <c r="B292" s="530">
        <f t="shared" si="26"/>
        <v>275</v>
      </c>
      <c r="C292" s="546">
        <f t="shared" si="23"/>
        <v>74118.749855499453</v>
      </c>
      <c r="D292" s="546">
        <f t="shared" si="27"/>
        <v>21349.753037981696</v>
      </c>
      <c r="E292" s="546">
        <f>IF(B292="","-",SUM($D$18:D292))</f>
        <v>11463208.611268528</v>
      </c>
      <c r="F292" s="546">
        <f t="shared" si="24"/>
        <v>52768.996817517756</v>
      </c>
      <c r="G292" s="546">
        <f>IF(B292="","-",SUM($F$18:F292))</f>
        <v>8177544.1766958339</v>
      </c>
      <c r="H292" s="546">
        <f t="shared" si="25"/>
        <v>5340852.8233041735</v>
      </c>
      <c r="I292" s="465"/>
      <c r="J292" s="466"/>
      <c r="K292" s="466"/>
      <c r="M292" s="466"/>
      <c r="N292" s="466"/>
      <c r="O292" s="466"/>
      <c r="P292" s="466"/>
      <c r="Q292" s="466"/>
      <c r="R292" s="466"/>
      <c r="S292" s="466"/>
      <c r="T292" s="466"/>
      <c r="U292" s="466"/>
      <c r="V292" s="466"/>
    </row>
    <row r="293" spans="1:22" x14ac:dyDescent="0.2">
      <c r="A293" s="466"/>
      <c r="B293" s="530">
        <f t="shared" si="26"/>
        <v>276</v>
      </c>
      <c r="C293" s="546">
        <f t="shared" si="23"/>
        <v>74118.749855499453</v>
      </c>
      <c r="D293" s="546">
        <f t="shared" si="27"/>
        <v>21140.875758912356</v>
      </c>
      <c r="E293" s="546">
        <f>IF(B293="","-",SUM($D$18:D293))</f>
        <v>11484349.48702744</v>
      </c>
      <c r="F293" s="546">
        <f t="shared" si="24"/>
        <v>52977.874096587097</v>
      </c>
      <c r="G293" s="546">
        <f>IF(B293="","-",SUM($F$18:F293))</f>
        <v>8230522.0507924212</v>
      </c>
      <c r="H293" s="546">
        <f t="shared" si="25"/>
        <v>5287874.9492075862</v>
      </c>
      <c r="I293" s="465"/>
      <c r="J293" s="466"/>
      <c r="K293" s="466"/>
      <c r="M293" s="466"/>
      <c r="N293" s="466"/>
      <c r="O293" s="466"/>
      <c r="P293" s="466"/>
      <c r="Q293" s="466"/>
      <c r="R293" s="466"/>
      <c r="S293" s="466"/>
      <c r="T293" s="466"/>
      <c r="U293" s="466"/>
      <c r="V293" s="466"/>
    </row>
    <row r="294" spans="1:22" x14ac:dyDescent="0.2">
      <c r="A294" s="466"/>
      <c r="B294" s="530">
        <f t="shared" si="26"/>
        <v>277</v>
      </c>
      <c r="C294" s="546">
        <f t="shared" si="23"/>
        <v>74118.749855499453</v>
      </c>
      <c r="D294" s="546">
        <f t="shared" si="27"/>
        <v>20931.171673946697</v>
      </c>
      <c r="E294" s="546">
        <f>IF(B294="","-",SUM($D$18:D294))</f>
        <v>11505280.658701386</v>
      </c>
      <c r="F294" s="546">
        <f t="shared" si="24"/>
        <v>53187.578181552759</v>
      </c>
      <c r="G294" s="546">
        <f>IF(B294="","-",SUM($F$18:F294))</f>
        <v>8283709.6289739739</v>
      </c>
      <c r="H294" s="546">
        <f t="shared" si="25"/>
        <v>5234687.3710260335</v>
      </c>
      <c r="I294" s="465"/>
      <c r="J294" s="466"/>
      <c r="K294" s="466"/>
      <c r="M294" s="466"/>
      <c r="N294" s="466"/>
      <c r="O294" s="466"/>
      <c r="P294" s="466"/>
      <c r="Q294" s="466"/>
      <c r="R294" s="466"/>
      <c r="S294" s="466"/>
      <c r="T294" s="466"/>
      <c r="U294" s="466"/>
      <c r="V294" s="466"/>
    </row>
    <row r="295" spans="1:22" x14ac:dyDescent="0.2">
      <c r="A295" s="466"/>
      <c r="B295" s="530">
        <f t="shared" si="26"/>
        <v>278</v>
      </c>
      <c r="C295" s="546">
        <f t="shared" si="23"/>
        <v>74118.749855499453</v>
      </c>
      <c r="D295" s="546">
        <f t="shared" si="27"/>
        <v>20720.637510311386</v>
      </c>
      <c r="E295" s="546">
        <f>IF(B295="","-",SUM($D$18:D295))</f>
        <v>11526001.296211697</v>
      </c>
      <c r="F295" s="546">
        <f t="shared" si="24"/>
        <v>53398.11234518807</v>
      </c>
      <c r="G295" s="546">
        <f>IF(B295="","-",SUM($F$18:F295))</f>
        <v>8337107.7413191618</v>
      </c>
      <c r="H295" s="546">
        <f t="shared" si="25"/>
        <v>5181289.2586808456</v>
      </c>
      <c r="I295" s="465"/>
      <c r="J295" s="466"/>
      <c r="K295" s="466"/>
      <c r="M295" s="466"/>
      <c r="N295" s="466"/>
      <c r="O295" s="466"/>
      <c r="P295" s="466"/>
      <c r="Q295" s="466"/>
      <c r="R295" s="466"/>
      <c r="S295" s="466"/>
      <c r="T295" s="466"/>
      <c r="U295" s="466"/>
      <c r="V295" s="466"/>
    </row>
    <row r="296" spans="1:22" x14ac:dyDescent="0.2">
      <c r="A296" s="466"/>
      <c r="B296" s="530">
        <f t="shared" si="26"/>
        <v>279</v>
      </c>
      <c r="C296" s="546">
        <f t="shared" si="23"/>
        <v>74118.749855499453</v>
      </c>
      <c r="D296" s="546">
        <f t="shared" si="27"/>
        <v>20509.269982278351</v>
      </c>
      <c r="E296" s="546">
        <f>IF(B296="","-",SUM($D$18:D296))</f>
        <v>11546510.566193976</v>
      </c>
      <c r="F296" s="546">
        <f t="shared" si="24"/>
        <v>53609.479873221106</v>
      </c>
      <c r="G296" s="546">
        <f>IF(B296="","-",SUM($F$18:F296))</f>
        <v>8390717.2211923823</v>
      </c>
      <c r="H296" s="546">
        <f t="shared" si="25"/>
        <v>5127679.7788076242</v>
      </c>
      <c r="I296" s="465"/>
      <c r="J296" s="466"/>
      <c r="K296" s="466"/>
      <c r="M296" s="466"/>
      <c r="N296" s="466"/>
      <c r="O296" s="466"/>
      <c r="P296" s="466"/>
      <c r="Q296" s="466"/>
      <c r="R296" s="466"/>
      <c r="S296" s="466"/>
      <c r="T296" s="466"/>
      <c r="U296" s="466"/>
      <c r="V296" s="466"/>
    </row>
    <row r="297" spans="1:22" x14ac:dyDescent="0.2">
      <c r="A297" s="466"/>
      <c r="B297" s="530">
        <f t="shared" si="26"/>
        <v>280</v>
      </c>
      <c r="C297" s="546">
        <f t="shared" si="23"/>
        <v>74118.749855499453</v>
      </c>
      <c r="D297" s="546">
        <f t="shared" si="27"/>
        <v>20297.065791113513</v>
      </c>
      <c r="E297" s="546">
        <f>IF(B297="","-",SUM($D$18:D297))</f>
        <v>11566807.631985089</v>
      </c>
      <c r="F297" s="546">
        <f t="shared" si="24"/>
        <v>53821.68406438594</v>
      </c>
      <c r="G297" s="546">
        <f>IF(B297="","-",SUM($F$18:F297))</f>
        <v>8444538.9052567687</v>
      </c>
      <c r="H297" s="546">
        <f t="shared" si="25"/>
        <v>5073858.0947432388</v>
      </c>
      <c r="I297" s="465"/>
      <c r="J297" s="466"/>
      <c r="K297" s="466"/>
      <c r="M297" s="466"/>
      <c r="N297" s="466"/>
      <c r="O297" s="466"/>
      <c r="P297" s="466"/>
      <c r="Q297" s="466"/>
      <c r="R297" s="466"/>
      <c r="S297" s="466"/>
      <c r="T297" s="466"/>
      <c r="U297" s="466"/>
      <c r="V297" s="466"/>
    </row>
    <row r="298" spans="1:22" x14ac:dyDescent="0.2">
      <c r="A298" s="466"/>
      <c r="B298" s="530">
        <f t="shared" si="26"/>
        <v>281</v>
      </c>
      <c r="C298" s="546">
        <f t="shared" si="23"/>
        <v>74118.749855499453</v>
      </c>
      <c r="D298" s="546">
        <f t="shared" si="27"/>
        <v>20084.021625025322</v>
      </c>
      <c r="E298" s="546">
        <f>IF(B298="","-",SUM($D$18:D298))</f>
        <v>11586891.653610114</v>
      </c>
      <c r="F298" s="546">
        <f t="shared" si="24"/>
        <v>54034.728230474131</v>
      </c>
      <c r="G298" s="546">
        <f>IF(B298="","-",SUM($F$18:F298))</f>
        <v>8498573.6334872432</v>
      </c>
      <c r="H298" s="546">
        <f t="shared" si="25"/>
        <v>5019823.3665127642</v>
      </c>
      <c r="I298" s="465"/>
      <c r="J298" s="466"/>
      <c r="K298" s="466"/>
      <c r="M298" s="466"/>
      <c r="N298" s="466"/>
      <c r="O298" s="466"/>
      <c r="P298" s="466"/>
      <c r="Q298" s="466"/>
      <c r="R298" s="466"/>
      <c r="S298" s="466"/>
      <c r="T298" s="466"/>
      <c r="U298" s="466"/>
      <c r="V298" s="466"/>
    </row>
    <row r="299" spans="1:22" x14ac:dyDescent="0.2">
      <c r="A299" s="466"/>
      <c r="B299" s="530">
        <f t="shared" si="26"/>
        <v>282</v>
      </c>
      <c r="C299" s="546">
        <f t="shared" si="23"/>
        <v>74118.749855499453</v>
      </c>
      <c r="D299" s="546">
        <f t="shared" si="27"/>
        <v>19870.134159113026</v>
      </c>
      <c r="E299" s="546">
        <f>IF(B299="","-",SUM($D$18:D299))</f>
        <v>11606761.787769226</v>
      </c>
      <c r="F299" s="546">
        <f t="shared" si="24"/>
        <v>54248.615696386427</v>
      </c>
      <c r="G299" s="546">
        <f>IF(B299="","-",SUM($F$18:F299))</f>
        <v>8552822.2491836287</v>
      </c>
      <c r="H299" s="546">
        <f t="shared" si="25"/>
        <v>4965574.7508163778</v>
      </c>
      <c r="I299" s="465"/>
      <c r="J299" s="466"/>
      <c r="K299" s="466"/>
      <c r="M299" s="466"/>
      <c r="N299" s="466"/>
      <c r="O299" s="466"/>
      <c r="P299" s="466"/>
      <c r="Q299" s="466"/>
      <c r="R299" s="466"/>
      <c r="S299" s="466"/>
      <c r="T299" s="466"/>
      <c r="U299" s="466"/>
      <c r="V299" s="466"/>
    </row>
    <row r="300" spans="1:22" x14ac:dyDescent="0.2">
      <c r="A300" s="466"/>
      <c r="B300" s="530">
        <f t="shared" si="26"/>
        <v>283</v>
      </c>
      <c r="C300" s="546">
        <f t="shared" si="23"/>
        <v>74118.749855499453</v>
      </c>
      <c r="D300" s="546">
        <f t="shared" si="27"/>
        <v>19655.400055314829</v>
      </c>
      <c r="E300" s="546">
        <f>IF(B300="","-",SUM($D$18:D300))</f>
        <v>11626417.187824542</v>
      </c>
      <c r="F300" s="546">
        <f t="shared" si="24"/>
        <v>54463.349800184624</v>
      </c>
      <c r="G300" s="546">
        <f>IF(B300="","-",SUM($F$18:F300))</f>
        <v>8607285.5989838131</v>
      </c>
      <c r="H300" s="546">
        <f t="shared" si="25"/>
        <v>4911111.4010161934</v>
      </c>
      <c r="I300" s="465"/>
      <c r="J300" s="466"/>
      <c r="K300" s="466"/>
      <c r="M300" s="466"/>
      <c r="N300" s="466"/>
      <c r="O300" s="466"/>
      <c r="P300" s="466"/>
      <c r="Q300" s="466"/>
      <c r="R300" s="466"/>
      <c r="S300" s="466"/>
      <c r="T300" s="466"/>
      <c r="U300" s="466"/>
      <c r="V300" s="466"/>
    </row>
    <row r="301" spans="1:22" x14ac:dyDescent="0.2">
      <c r="A301" s="466"/>
      <c r="B301" s="530">
        <f t="shared" si="26"/>
        <v>284</v>
      </c>
      <c r="C301" s="546">
        <f t="shared" si="23"/>
        <v>74118.749855499453</v>
      </c>
      <c r="D301" s="546">
        <f t="shared" si="27"/>
        <v>19439.815962355766</v>
      </c>
      <c r="E301" s="546">
        <f>IF(B301="","-",SUM($D$18:D301))</f>
        <v>11645857.003786897</v>
      </c>
      <c r="F301" s="546">
        <f t="shared" si="24"/>
        <v>54678.933893143687</v>
      </c>
      <c r="G301" s="546">
        <f>IF(B301="","-",SUM($F$18:F301))</f>
        <v>8661964.5328769572</v>
      </c>
      <c r="H301" s="546">
        <f t="shared" si="25"/>
        <v>4856432.4671230493</v>
      </c>
      <c r="I301" s="465"/>
      <c r="J301" s="466"/>
      <c r="K301" s="466"/>
      <c r="M301" s="466"/>
      <c r="N301" s="466"/>
      <c r="O301" s="466"/>
      <c r="P301" s="466"/>
      <c r="Q301" s="466"/>
      <c r="R301" s="466"/>
      <c r="S301" s="466"/>
      <c r="T301" s="466"/>
      <c r="U301" s="466"/>
      <c r="V301" s="466"/>
    </row>
    <row r="302" spans="1:22" x14ac:dyDescent="0.2">
      <c r="A302" s="466"/>
      <c r="B302" s="530">
        <f t="shared" si="26"/>
        <v>285</v>
      </c>
      <c r="C302" s="546">
        <f t="shared" si="23"/>
        <v>74118.749855499453</v>
      </c>
      <c r="D302" s="546">
        <f t="shared" si="27"/>
        <v>19223.378515695404</v>
      </c>
      <c r="E302" s="546">
        <f>IF(B302="","-",SUM($D$18:D302))</f>
        <v>11665080.382302593</v>
      </c>
      <c r="F302" s="546">
        <f t="shared" si="24"/>
        <v>54895.371339804049</v>
      </c>
      <c r="G302" s="546">
        <f>IF(B302="","-",SUM($F$18:F302))</f>
        <v>8716859.9042167608</v>
      </c>
      <c r="H302" s="546">
        <f t="shared" si="25"/>
        <v>4801537.0957832448</v>
      </c>
      <c r="I302" s="465"/>
      <c r="J302" s="466"/>
      <c r="K302" s="466"/>
      <c r="M302" s="466"/>
      <c r="N302" s="466"/>
      <c r="O302" s="466"/>
      <c r="P302" s="466"/>
      <c r="Q302" s="466"/>
      <c r="R302" s="466"/>
      <c r="S302" s="466"/>
      <c r="T302" s="466"/>
      <c r="U302" s="466"/>
      <c r="V302" s="466"/>
    </row>
    <row r="303" spans="1:22" x14ac:dyDescent="0.2">
      <c r="A303" s="466"/>
      <c r="B303" s="530">
        <f t="shared" si="26"/>
        <v>286</v>
      </c>
      <c r="C303" s="546">
        <f t="shared" si="23"/>
        <v>74118.749855499453</v>
      </c>
      <c r="D303" s="546">
        <f t="shared" si="27"/>
        <v>19006.084337475346</v>
      </c>
      <c r="E303" s="546">
        <f>IF(B303="","-",SUM($D$18:D303))</f>
        <v>11684086.466640068</v>
      </c>
      <c r="F303" s="546">
        <f t="shared" si="24"/>
        <v>55112.665518024107</v>
      </c>
      <c r="G303" s="546">
        <f>IF(B303="","-",SUM($F$18:F303))</f>
        <v>8771972.5697347857</v>
      </c>
      <c r="H303" s="546">
        <f t="shared" si="25"/>
        <v>4746424.4302652208</v>
      </c>
      <c r="I303" s="465"/>
      <c r="J303" s="466"/>
      <c r="K303" s="466"/>
      <c r="M303" s="466"/>
      <c r="N303" s="466"/>
      <c r="O303" s="466"/>
      <c r="P303" s="466"/>
      <c r="Q303" s="466"/>
      <c r="R303" s="466"/>
      <c r="S303" s="466"/>
      <c r="T303" s="466"/>
      <c r="U303" s="466"/>
      <c r="V303" s="466"/>
    </row>
    <row r="304" spans="1:22" x14ac:dyDescent="0.2">
      <c r="A304" s="466"/>
      <c r="B304" s="530">
        <f t="shared" si="26"/>
        <v>287</v>
      </c>
      <c r="C304" s="546">
        <f t="shared" si="23"/>
        <v>74118.749855499453</v>
      </c>
      <c r="D304" s="546">
        <f t="shared" si="27"/>
        <v>18787.9300364665</v>
      </c>
      <c r="E304" s="546">
        <f>IF(B304="","-",SUM($D$18:D304))</f>
        <v>11702874.396676535</v>
      </c>
      <c r="F304" s="546">
        <f t="shared" si="24"/>
        <v>55330.819819032957</v>
      </c>
      <c r="G304" s="546">
        <f>IF(B304="","-",SUM($F$18:F304))</f>
        <v>8827303.3895538189</v>
      </c>
      <c r="H304" s="546">
        <f t="shared" si="25"/>
        <v>4691093.6104461877</v>
      </c>
      <c r="I304" s="465"/>
      <c r="J304" s="466"/>
      <c r="K304" s="466"/>
      <c r="M304" s="466"/>
      <c r="N304" s="466"/>
      <c r="O304" s="466"/>
      <c r="P304" s="466"/>
      <c r="Q304" s="466"/>
      <c r="R304" s="466"/>
      <c r="S304" s="466"/>
      <c r="T304" s="466"/>
      <c r="U304" s="466"/>
      <c r="V304" s="466"/>
    </row>
    <row r="305" spans="1:22" x14ac:dyDescent="0.2">
      <c r="A305" s="466"/>
      <c r="B305" s="530">
        <f t="shared" si="26"/>
        <v>288</v>
      </c>
      <c r="C305" s="546">
        <f t="shared" si="23"/>
        <v>74118.749855499453</v>
      </c>
      <c r="D305" s="546">
        <f t="shared" si="27"/>
        <v>18568.912208016161</v>
      </c>
      <c r="E305" s="546">
        <f>IF(B305="","-",SUM($D$18:D305))</f>
        <v>11721443.308884552</v>
      </c>
      <c r="F305" s="546">
        <f t="shared" si="24"/>
        <v>55549.837647483291</v>
      </c>
      <c r="G305" s="546">
        <f>IF(B305="","-",SUM($F$18:F305))</f>
        <v>8882853.2272013016</v>
      </c>
      <c r="H305" s="546">
        <f t="shared" si="25"/>
        <v>4635543.772798704</v>
      </c>
      <c r="I305" s="465"/>
      <c r="J305" s="466"/>
      <c r="K305" s="466"/>
      <c r="M305" s="466"/>
      <c r="N305" s="466"/>
      <c r="O305" s="466"/>
      <c r="P305" s="466"/>
      <c r="Q305" s="466"/>
      <c r="R305" s="466"/>
      <c r="S305" s="466"/>
      <c r="T305" s="466"/>
      <c r="U305" s="466"/>
      <c r="V305" s="466"/>
    </row>
    <row r="306" spans="1:22" x14ac:dyDescent="0.2">
      <c r="A306" s="466"/>
      <c r="B306" s="530">
        <f t="shared" si="26"/>
        <v>289</v>
      </c>
      <c r="C306" s="546">
        <f t="shared" si="23"/>
        <v>74118.749855499453</v>
      </c>
      <c r="D306" s="546">
        <f t="shared" si="27"/>
        <v>18349.02743399487</v>
      </c>
      <c r="E306" s="546">
        <f>IF(B306="","-",SUM($D$18:D306))</f>
        <v>11739792.336318547</v>
      </c>
      <c r="F306" s="546">
        <f t="shared" si="24"/>
        <v>55769.722421504586</v>
      </c>
      <c r="G306" s="546">
        <f>IF(B306="","-",SUM($F$18:F306))</f>
        <v>8938622.9496228062</v>
      </c>
      <c r="H306" s="546">
        <f t="shared" si="25"/>
        <v>4579774.0503771994</v>
      </c>
      <c r="I306" s="465"/>
      <c r="J306" s="466"/>
      <c r="K306" s="466"/>
      <c r="M306" s="466"/>
      <c r="N306" s="466"/>
      <c r="O306" s="466"/>
      <c r="P306" s="466"/>
      <c r="Q306" s="466"/>
      <c r="R306" s="466"/>
      <c r="S306" s="466"/>
      <c r="T306" s="466"/>
      <c r="U306" s="466"/>
      <c r="V306" s="466"/>
    </row>
    <row r="307" spans="1:22" x14ac:dyDescent="0.2">
      <c r="A307" s="466"/>
      <c r="B307" s="530">
        <f t="shared" si="26"/>
        <v>290</v>
      </c>
      <c r="C307" s="546">
        <f t="shared" si="23"/>
        <v>74118.749855499453</v>
      </c>
      <c r="D307" s="546">
        <f t="shared" si="27"/>
        <v>18128.272282743084</v>
      </c>
      <c r="E307" s="546">
        <f>IF(B307="","-",SUM($D$18:D307))</f>
        <v>11757920.608601291</v>
      </c>
      <c r="F307" s="546">
        <f t="shared" si="24"/>
        <v>55990.477572756368</v>
      </c>
      <c r="G307" s="546">
        <f>IF(B307="","-",SUM($F$18:F307))</f>
        <v>8994613.427195562</v>
      </c>
      <c r="H307" s="546">
        <f t="shared" si="25"/>
        <v>4523783.5728044426</v>
      </c>
      <c r="I307" s="465"/>
      <c r="J307" s="466"/>
      <c r="K307" s="466"/>
      <c r="M307" s="466"/>
      <c r="N307" s="466"/>
      <c r="O307" s="466"/>
      <c r="P307" s="466"/>
      <c r="Q307" s="466"/>
      <c r="R307" s="466"/>
      <c r="S307" s="466"/>
      <c r="T307" s="466"/>
      <c r="U307" s="466"/>
      <c r="V307" s="466"/>
    </row>
    <row r="308" spans="1:22" x14ac:dyDescent="0.2">
      <c r="A308" s="466"/>
      <c r="B308" s="530">
        <f t="shared" si="26"/>
        <v>291</v>
      </c>
      <c r="C308" s="546">
        <f t="shared" si="23"/>
        <v>74118.749855499453</v>
      </c>
      <c r="D308" s="546">
        <f t="shared" si="27"/>
        <v>17906.643309017585</v>
      </c>
      <c r="E308" s="546">
        <f>IF(B308="","-",SUM($D$18:D308))</f>
        <v>11775827.251910308</v>
      </c>
      <c r="F308" s="546">
        <f t="shared" si="24"/>
        <v>56212.106546481868</v>
      </c>
      <c r="G308" s="546">
        <f>IF(B308="","-",SUM($F$18:F308))</f>
        <v>9050825.5337420441</v>
      </c>
      <c r="H308" s="546">
        <f t="shared" si="25"/>
        <v>4467571.4662579605</v>
      </c>
      <c r="I308" s="465"/>
      <c r="J308" s="466"/>
      <c r="K308" s="466"/>
      <c r="M308" s="466"/>
      <c r="N308" s="466"/>
      <c r="O308" s="466"/>
      <c r="P308" s="466"/>
      <c r="Q308" s="466"/>
      <c r="R308" s="466"/>
      <c r="S308" s="466"/>
      <c r="T308" s="466"/>
      <c r="U308" s="466"/>
      <c r="V308" s="466"/>
    </row>
    <row r="309" spans="1:22" x14ac:dyDescent="0.2">
      <c r="A309" s="466"/>
      <c r="B309" s="530">
        <f t="shared" si="26"/>
        <v>292</v>
      </c>
      <c r="C309" s="546">
        <f t="shared" si="23"/>
        <v>74118.749855499453</v>
      </c>
      <c r="D309" s="546">
        <f t="shared" si="27"/>
        <v>17684.13705393776</v>
      </c>
      <c r="E309" s="546">
        <f>IF(B309="","-",SUM($D$18:D309))</f>
        <v>11793511.388964247</v>
      </c>
      <c r="F309" s="546">
        <f t="shared" si="24"/>
        <v>56434.612801561692</v>
      </c>
      <c r="G309" s="546">
        <f>IF(B309="","-",SUM($F$18:F309))</f>
        <v>9107260.1465436053</v>
      </c>
      <c r="H309" s="546">
        <f t="shared" si="25"/>
        <v>4411136.8534563985</v>
      </c>
      <c r="I309" s="465"/>
      <c r="J309" s="466"/>
      <c r="K309" s="466"/>
      <c r="M309" s="466"/>
      <c r="N309" s="466"/>
      <c r="O309" s="466"/>
      <c r="P309" s="466"/>
      <c r="Q309" s="466"/>
      <c r="R309" s="466"/>
      <c r="S309" s="466"/>
      <c r="T309" s="466"/>
      <c r="U309" s="466"/>
      <c r="V309" s="466"/>
    </row>
    <row r="310" spans="1:22" x14ac:dyDescent="0.2">
      <c r="A310" s="466"/>
      <c r="B310" s="530">
        <f t="shared" si="26"/>
        <v>293</v>
      </c>
      <c r="C310" s="546">
        <f t="shared" si="23"/>
        <v>74118.749855499453</v>
      </c>
      <c r="D310" s="546">
        <f t="shared" si="27"/>
        <v>17460.750044931578</v>
      </c>
      <c r="E310" s="546">
        <f>IF(B310="","-",SUM($D$18:D310))</f>
        <v>11810972.139009178</v>
      </c>
      <c r="F310" s="546">
        <f t="shared" si="24"/>
        <v>56657.999810567875</v>
      </c>
      <c r="G310" s="546">
        <f>IF(B310="","-",SUM($F$18:F310))</f>
        <v>9163918.1463541724</v>
      </c>
      <c r="H310" s="546">
        <f t="shared" si="25"/>
        <v>4354478.8536458304</v>
      </c>
      <c r="I310" s="465"/>
      <c r="J310" s="466"/>
      <c r="K310" s="466"/>
      <c r="M310" s="466"/>
      <c r="N310" s="466"/>
      <c r="O310" s="466"/>
      <c r="P310" s="466"/>
      <c r="Q310" s="466"/>
      <c r="R310" s="466"/>
      <c r="S310" s="466"/>
      <c r="T310" s="466"/>
      <c r="U310" s="466"/>
      <c r="V310" s="466"/>
    </row>
    <row r="311" spans="1:22" x14ac:dyDescent="0.2">
      <c r="A311" s="466"/>
      <c r="B311" s="530">
        <f t="shared" si="26"/>
        <v>294</v>
      </c>
      <c r="C311" s="546">
        <f t="shared" si="23"/>
        <v>74118.749855499453</v>
      </c>
      <c r="D311" s="546">
        <f t="shared" si="27"/>
        <v>17236.478795681414</v>
      </c>
      <c r="E311" s="546">
        <f>IF(B311="","-",SUM($D$18:D311))</f>
        <v>11828208.617804859</v>
      </c>
      <c r="F311" s="546">
        <f t="shared" si="24"/>
        <v>56882.271059818042</v>
      </c>
      <c r="G311" s="546">
        <f>IF(B311="","-",SUM($F$18:F311))</f>
        <v>9220800.4174139909</v>
      </c>
      <c r="H311" s="546">
        <f t="shared" si="25"/>
        <v>4297596.5825860128</v>
      </c>
      <c r="I311" s="465"/>
      <c r="J311" s="466"/>
      <c r="K311" s="466"/>
      <c r="M311" s="466"/>
      <c r="N311" s="466"/>
      <c r="O311" s="466"/>
      <c r="P311" s="466"/>
      <c r="Q311" s="466"/>
      <c r="R311" s="466"/>
      <c r="S311" s="466"/>
      <c r="T311" s="466"/>
      <c r="U311" s="466"/>
      <c r="V311" s="466"/>
    </row>
    <row r="312" spans="1:22" x14ac:dyDescent="0.2">
      <c r="A312" s="466"/>
      <c r="B312" s="530">
        <f t="shared" si="26"/>
        <v>295</v>
      </c>
      <c r="C312" s="546">
        <f t="shared" si="23"/>
        <v>74118.749855499453</v>
      </c>
      <c r="D312" s="546">
        <f t="shared" si="27"/>
        <v>17011.319806069634</v>
      </c>
      <c r="E312" s="546">
        <f>IF(B312="","-",SUM($D$18:D312))</f>
        <v>11845219.937610928</v>
      </c>
      <c r="F312" s="546">
        <f t="shared" si="24"/>
        <v>57107.430049429822</v>
      </c>
      <c r="G312" s="546">
        <f>IF(B312="","-",SUM($F$18:F312))</f>
        <v>9277907.8474634215</v>
      </c>
      <c r="H312" s="546">
        <f t="shared" si="25"/>
        <v>4240489.1525365831</v>
      </c>
      <c r="I312" s="465"/>
      <c r="J312" s="466"/>
      <c r="K312" s="466"/>
      <c r="M312" s="466"/>
      <c r="N312" s="466"/>
      <c r="O312" s="466"/>
      <c r="P312" s="466"/>
      <c r="Q312" s="466"/>
      <c r="R312" s="466"/>
      <c r="S312" s="466"/>
      <c r="T312" s="466"/>
      <c r="U312" s="466"/>
      <c r="V312" s="466"/>
    </row>
    <row r="313" spans="1:22" x14ac:dyDescent="0.2">
      <c r="A313" s="466"/>
      <c r="B313" s="530">
        <f t="shared" si="26"/>
        <v>296</v>
      </c>
      <c r="C313" s="546">
        <f t="shared" si="23"/>
        <v>74118.749855499453</v>
      </c>
      <c r="D313" s="546">
        <f t="shared" si="27"/>
        <v>16785.269562123976</v>
      </c>
      <c r="E313" s="546">
        <f>IF(B313="","-",SUM($D$18:D313))</f>
        <v>11862005.207173051</v>
      </c>
      <c r="F313" s="546">
        <f t="shared" si="24"/>
        <v>57333.480293375476</v>
      </c>
      <c r="G313" s="546">
        <f>IF(B313="","-",SUM($F$18:F313))</f>
        <v>9335241.3277567979</v>
      </c>
      <c r="H313" s="546">
        <f t="shared" si="25"/>
        <v>4183155.6722432077</v>
      </c>
      <c r="I313" s="465"/>
      <c r="J313" s="466"/>
      <c r="K313" s="466"/>
      <c r="M313" s="466"/>
      <c r="N313" s="466"/>
      <c r="O313" s="466"/>
      <c r="P313" s="466"/>
      <c r="Q313" s="466"/>
      <c r="R313" s="466"/>
      <c r="S313" s="466"/>
      <c r="T313" s="466"/>
      <c r="U313" s="466"/>
      <c r="V313" s="466"/>
    </row>
    <row r="314" spans="1:22" x14ac:dyDescent="0.2">
      <c r="A314" s="466"/>
      <c r="B314" s="530">
        <f t="shared" si="26"/>
        <v>297</v>
      </c>
      <c r="C314" s="546">
        <f t="shared" si="23"/>
        <v>74118.749855499453</v>
      </c>
      <c r="D314" s="546">
        <f t="shared" si="27"/>
        <v>16558.3245359627</v>
      </c>
      <c r="E314" s="546">
        <f>IF(B314="","-",SUM($D$18:D314))</f>
        <v>11878563.531709014</v>
      </c>
      <c r="F314" s="546">
        <f t="shared" si="24"/>
        <v>57560.425319536749</v>
      </c>
      <c r="G314" s="546">
        <f>IF(B314="","-",SUM($F$18:F314))</f>
        <v>9392801.7530763354</v>
      </c>
      <c r="H314" s="546">
        <f t="shared" si="25"/>
        <v>4125595.2469236711</v>
      </c>
      <c r="I314" s="465"/>
      <c r="J314" s="466"/>
      <c r="K314" s="466"/>
      <c r="M314" s="466"/>
      <c r="N314" s="466"/>
      <c r="O314" s="466"/>
      <c r="P314" s="466"/>
      <c r="Q314" s="466"/>
      <c r="R314" s="466"/>
      <c r="S314" s="466"/>
      <c r="T314" s="466"/>
      <c r="U314" s="466"/>
      <c r="V314" s="466"/>
    </row>
    <row r="315" spans="1:22" x14ac:dyDescent="0.2">
      <c r="A315" s="466"/>
      <c r="B315" s="530">
        <f t="shared" si="26"/>
        <v>298</v>
      </c>
      <c r="C315" s="546">
        <f t="shared" si="23"/>
        <v>74118.749855499453</v>
      </c>
      <c r="D315" s="546">
        <f t="shared" si="27"/>
        <v>16330.481185739533</v>
      </c>
      <c r="E315" s="546">
        <f>IF(B315="","-",SUM($D$18:D315))</f>
        <v>11894894.012894753</v>
      </c>
      <c r="F315" s="546">
        <f t="shared" si="24"/>
        <v>57788.26866975992</v>
      </c>
      <c r="G315" s="546">
        <f>IF(B315="","-",SUM($F$18:F315))</f>
        <v>9450590.0217460953</v>
      </c>
      <c r="H315" s="546">
        <f t="shared" si="25"/>
        <v>4067806.9782539112</v>
      </c>
      <c r="I315" s="465"/>
      <c r="J315" s="466"/>
      <c r="K315" s="466"/>
      <c r="M315" s="466"/>
      <c r="N315" s="466"/>
      <c r="O315" s="466"/>
      <c r="P315" s="466"/>
      <c r="Q315" s="466"/>
      <c r="R315" s="466"/>
      <c r="S315" s="466"/>
      <c r="T315" s="466"/>
      <c r="U315" s="466"/>
      <c r="V315" s="466"/>
    </row>
    <row r="316" spans="1:22" x14ac:dyDescent="0.2">
      <c r="A316" s="466"/>
      <c r="B316" s="530">
        <f t="shared" si="26"/>
        <v>299</v>
      </c>
      <c r="C316" s="546">
        <f t="shared" si="23"/>
        <v>74118.749855499453</v>
      </c>
      <c r="D316" s="546">
        <f t="shared" si="27"/>
        <v>16101.7359555884</v>
      </c>
      <c r="E316" s="546">
        <f>IF(B316="","-",SUM($D$18:D316))</f>
        <v>11910995.748850342</v>
      </c>
      <c r="F316" s="546">
        <f t="shared" si="24"/>
        <v>58017.01389991105</v>
      </c>
      <c r="G316" s="546">
        <f>IF(B316="","-",SUM($F$18:F316))</f>
        <v>9508607.0356460065</v>
      </c>
      <c r="H316" s="546">
        <f t="shared" si="25"/>
        <v>4009789.9643540001</v>
      </c>
      <c r="I316" s="465"/>
      <c r="J316" s="466"/>
      <c r="K316" s="466"/>
      <c r="M316" s="466"/>
      <c r="N316" s="466"/>
      <c r="O316" s="466"/>
      <c r="P316" s="466"/>
      <c r="Q316" s="466"/>
      <c r="R316" s="466"/>
      <c r="S316" s="466"/>
      <c r="T316" s="466"/>
      <c r="U316" s="466"/>
      <c r="V316" s="466"/>
    </row>
    <row r="317" spans="1:22" x14ac:dyDescent="0.2">
      <c r="A317" s="466"/>
      <c r="B317" s="530">
        <f t="shared" si="26"/>
        <v>300</v>
      </c>
      <c r="C317" s="546">
        <f t="shared" si="23"/>
        <v>74118.749855499453</v>
      </c>
      <c r="D317" s="546">
        <f t="shared" si="27"/>
        <v>15872.085275567919</v>
      </c>
      <c r="E317" s="546">
        <f>IF(B317="","-",SUM($D$18:D317))</f>
        <v>11926867.83412591</v>
      </c>
      <c r="F317" s="546">
        <f t="shared" si="24"/>
        <v>58246.66457993153</v>
      </c>
      <c r="G317" s="546">
        <f>IF(B317="","-",SUM($F$18:F317))</f>
        <v>9566853.7002259381</v>
      </c>
      <c r="H317" s="546">
        <f t="shared" si="25"/>
        <v>3951543.2997740684</v>
      </c>
      <c r="I317" s="465"/>
      <c r="J317" s="466"/>
      <c r="K317" s="466"/>
      <c r="M317" s="466"/>
      <c r="N317" s="466"/>
      <c r="O317" s="466"/>
      <c r="P317" s="466"/>
      <c r="Q317" s="466"/>
      <c r="R317" s="466"/>
      <c r="S317" s="466"/>
      <c r="T317" s="466"/>
      <c r="U317" s="466"/>
      <c r="V317" s="466"/>
    </row>
    <row r="318" spans="1:22" x14ac:dyDescent="0.2">
      <c r="A318" s="466"/>
      <c r="B318" s="530">
        <f t="shared" si="26"/>
        <v>301</v>
      </c>
      <c r="C318" s="546">
        <f t="shared" si="23"/>
        <v>74118.749855499453</v>
      </c>
      <c r="D318" s="546">
        <f t="shared" si="27"/>
        <v>15641.525561605689</v>
      </c>
      <c r="E318" s="546">
        <f>IF(B318="","-",SUM($D$18:D318))</f>
        <v>11942509.359687516</v>
      </c>
      <c r="F318" s="546">
        <f t="shared" si="24"/>
        <v>58477.224293893763</v>
      </c>
      <c r="G318" s="546">
        <f>IF(B318="","-",SUM($F$18:F318))</f>
        <v>9625330.9245198313</v>
      </c>
      <c r="H318" s="546">
        <f t="shared" si="25"/>
        <v>3893066.0754801747</v>
      </c>
      <c r="I318" s="465"/>
      <c r="J318" s="466"/>
      <c r="K318" s="466"/>
      <c r="M318" s="466"/>
      <c r="N318" s="466"/>
      <c r="O318" s="466"/>
      <c r="P318" s="466"/>
      <c r="Q318" s="466"/>
      <c r="R318" s="466"/>
      <c r="S318" s="466"/>
      <c r="T318" s="466"/>
      <c r="U318" s="466"/>
      <c r="V318" s="466"/>
    </row>
    <row r="319" spans="1:22" x14ac:dyDescent="0.2">
      <c r="A319" s="466"/>
      <c r="B319" s="530">
        <f t="shared" si="26"/>
        <v>302</v>
      </c>
      <c r="C319" s="546">
        <f t="shared" si="23"/>
        <v>74118.749855499453</v>
      </c>
      <c r="D319" s="546">
        <f t="shared" si="27"/>
        <v>15410.05321544236</v>
      </c>
      <c r="E319" s="546">
        <f>IF(B319="","-",SUM($D$18:D319))</f>
        <v>11957919.412902959</v>
      </c>
      <c r="F319" s="546">
        <f t="shared" si="24"/>
        <v>58708.696640057096</v>
      </c>
      <c r="G319" s="546">
        <f>IF(B319="","-",SUM($F$18:F319))</f>
        <v>9684039.6211598888</v>
      </c>
      <c r="H319" s="546">
        <f t="shared" si="25"/>
        <v>3834357.3788401177</v>
      </c>
      <c r="I319" s="465"/>
      <c r="J319" s="466"/>
      <c r="K319" s="466"/>
      <c r="M319" s="466"/>
      <c r="N319" s="466"/>
      <c r="O319" s="466"/>
      <c r="P319" s="466"/>
      <c r="Q319" s="466"/>
      <c r="R319" s="466"/>
      <c r="S319" s="466"/>
      <c r="T319" s="466"/>
      <c r="U319" s="466"/>
      <c r="V319" s="466"/>
    </row>
    <row r="320" spans="1:22" x14ac:dyDescent="0.2">
      <c r="A320" s="466"/>
      <c r="B320" s="530">
        <f t="shared" si="26"/>
        <v>303</v>
      </c>
      <c r="C320" s="546">
        <f t="shared" si="23"/>
        <v>74118.749855499453</v>
      </c>
      <c r="D320" s="546">
        <f t="shared" si="27"/>
        <v>15177.664624575467</v>
      </c>
      <c r="E320" s="546">
        <f>IF(B320="","-",SUM($D$18:D320))</f>
        <v>11973097.077527534</v>
      </c>
      <c r="F320" s="546">
        <f t="shared" si="24"/>
        <v>58941.085230923985</v>
      </c>
      <c r="G320" s="546">
        <f>IF(B320="","-",SUM($F$18:F320))</f>
        <v>9742980.706390813</v>
      </c>
      <c r="H320" s="546">
        <f t="shared" si="25"/>
        <v>3775416.2936091935</v>
      </c>
      <c r="I320" s="465"/>
      <c r="J320" s="466"/>
      <c r="K320" s="466"/>
      <c r="M320" s="466"/>
      <c r="N320" s="466"/>
      <c r="O320" s="466"/>
      <c r="P320" s="466"/>
      <c r="Q320" s="466"/>
      <c r="R320" s="466"/>
      <c r="S320" s="466"/>
      <c r="T320" s="466"/>
      <c r="U320" s="466"/>
      <c r="V320" s="466"/>
    </row>
    <row r="321" spans="1:22" x14ac:dyDescent="0.2">
      <c r="A321" s="466"/>
      <c r="B321" s="530">
        <f t="shared" si="26"/>
        <v>304</v>
      </c>
      <c r="C321" s="546">
        <f t="shared" si="23"/>
        <v>74118.749855499453</v>
      </c>
      <c r="D321" s="546">
        <f t="shared" si="27"/>
        <v>14944.356162203059</v>
      </c>
      <c r="E321" s="546">
        <f>IF(B321="","-",SUM($D$18:D321))</f>
        <v>11988041.433689738</v>
      </c>
      <c r="F321" s="546">
        <f t="shared" si="24"/>
        <v>59174.393693296392</v>
      </c>
      <c r="G321" s="546">
        <f>IF(B321="","-",SUM($F$18:F321))</f>
        <v>9802155.1000841092</v>
      </c>
      <c r="H321" s="546">
        <f t="shared" si="25"/>
        <v>3716241.8999158973</v>
      </c>
      <c r="I321" s="465"/>
      <c r="J321" s="466"/>
      <c r="K321" s="466"/>
      <c r="M321" s="466"/>
      <c r="N321" s="466"/>
      <c r="O321" s="466"/>
      <c r="P321" s="466"/>
      <c r="Q321" s="466"/>
      <c r="R321" s="466"/>
      <c r="S321" s="466"/>
      <c r="T321" s="466"/>
      <c r="U321" s="466"/>
      <c r="V321" s="466"/>
    </row>
    <row r="322" spans="1:22" x14ac:dyDescent="0.2">
      <c r="A322" s="466"/>
      <c r="B322" s="530">
        <f t="shared" si="26"/>
        <v>305</v>
      </c>
      <c r="C322" s="546">
        <f t="shared" si="23"/>
        <v>74118.749855499453</v>
      </c>
      <c r="D322" s="546">
        <f t="shared" si="27"/>
        <v>14710.124187167095</v>
      </c>
      <c r="E322" s="546">
        <f>IF(B322="","-",SUM($D$18:D322))</f>
        <v>12002751.557876905</v>
      </c>
      <c r="F322" s="546">
        <f t="shared" si="24"/>
        <v>59408.625668332359</v>
      </c>
      <c r="G322" s="546">
        <f>IF(B322="","-",SUM($F$18:F322))</f>
        <v>9861563.7257524412</v>
      </c>
      <c r="H322" s="546">
        <f t="shared" si="25"/>
        <v>3656833.2742475648</v>
      </c>
      <c r="I322" s="465"/>
      <c r="J322" s="466"/>
      <c r="K322" s="466"/>
      <c r="M322" s="466"/>
      <c r="N322" s="466"/>
      <c r="O322" s="466"/>
      <c r="P322" s="466"/>
      <c r="Q322" s="466"/>
      <c r="R322" s="466"/>
      <c r="S322" s="466"/>
      <c r="T322" s="466"/>
      <c r="U322" s="466"/>
      <c r="V322" s="466"/>
    </row>
    <row r="323" spans="1:22" x14ac:dyDescent="0.2">
      <c r="A323" s="466"/>
      <c r="B323" s="530">
        <f t="shared" si="26"/>
        <v>306</v>
      </c>
      <c r="C323" s="546">
        <f t="shared" si="23"/>
        <v>74118.749855499453</v>
      </c>
      <c r="D323" s="546">
        <f t="shared" si="27"/>
        <v>14474.965043896613</v>
      </c>
      <c r="E323" s="546">
        <f>IF(B323="","-",SUM($D$18:D323))</f>
        <v>12017226.522920802</v>
      </c>
      <c r="F323" s="546">
        <f t="shared" si="24"/>
        <v>59643.78481160284</v>
      </c>
      <c r="G323" s="546">
        <f>IF(B323="","-",SUM($F$18:F323))</f>
        <v>9921207.5105640441</v>
      </c>
      <c r="H323" s="546">
        <f t="shared" si="25"/>
        <v>3597189.4894359619</v>
      </c>
      <c r="I323" s="465"/>
      <c r="J323" s="466"/>
      <c r="K323" s="466"/>
      <c r="M323" s="466"/>
      <c r="N323" s="466"/>
      <c r="O323" s="466"/>
      <c r="P323" s="466"/>
      <c r="Q323" s="466"/>
      <c r="R323" s="466"/>
      <c r="S323" s="466"/>
      <c r="T323" s="466"/>
      <c r="U323" s="466"/>
      <c r="V323" s="466"/>
    </row>
    <row r="324" spans="1:22" x14ac:dyDescent="0.2">
      <c r="A324" s="466"/>
      <c r="B324" s="530">
        <f t="shared" si="26"/>
        <v>307</v>
      </c>
      <c r="C324" s="546">
        <f t="shared" si="23"/>
        <v>74118.749855499453</v>
      </c>
      <c r="D324" s="546">
        <f t="shared" si="27"/>
        <v>14238.875062350684</v>
      </c>
      <c r="E324" s="546">
        <f>IF(B324="","-",SUM($D$18:D324))</f>
        <v>12031465.397983152</v>
      </c>
      <c r="F324" s="546">
        <f t="shared" si="24"/>
        <v>59879.874793148767</v>
      </c>
      <c r="G324" s="546">
        <f>IF(B324="","-",SUM($F$18:F324))</f>
        <v>9981087.3853571936</v>
      </c>
      <c r="H324" s="546">
        <f t="shared" si="25"/>
        <v>3537309.6146428133</v>
      </c>
      <c r="I324" s="465"/>
      <c r="J324" s="466"/>
      <c r="K324" s="466"/>
      <c r="M324" s="466"/>
      <c r="N324" s="466"/>
      <c r="O324" s="466"/>
      <c r="P324" s="466"/>
      <c r="Q324" s="466"/>
      <c r="R324" s="466"/>
      <c r="S324" s="466"/>
      <c r="T324" s="466"/>
      <c r="U324" s="466"/>
      <c r="V324" s="466"/>
    </row>
    <row r="325" spans="1:22" x14ac:dyDescent="0.2">
      <c r="A325" s="466"/>
      <c r="B325" s="530">
        <f t="shared" si="26"/>
        <v>308</v>
      </c>
      <c r="C325" s="546">
        <f t="shared" si="23"/>
        <v>74118.749855499453</v>
      </c>
      <c r="D325" s="546">
        <f t="shared" si="27"/>
        <v>14001.850557961137</v>
      </c>
      <c r="E325" s="546">
        <f>IF(B325="","-",SUM($D$18:D325))</f>
        <v>12045467.248541113</v>
      </c>
      <c r="F325" s="546">
        <f t="shared" si="24"/>
        <v>60116.899297538315</v>
      </c>
      <c r="G325" s="546">
        <f>IF(B325="","-",SUM($F$18:F325))</f>
        <v>10041204.284654733</v>
      </c>
      <c r="H325" s="546">
        <f t="shared" si="25"/>
        <v>3477192.7153452751</v>
      </c>
      <c r="I325" s="465"/>
      <c r="J325" s="466"/>
      <c r="K325" s="466"/>
      <c r="M325" s="466"/>
      <c r="N325" s="466"/>
      <c r="O325" s="466"/>
      <c r="P325" s="466"/>
      <c r="Q325" s="466"/>
      <c r="R325" s="466"/>
      <c r="S325" s="466"/>
      <c r="T325" s="466"/>
      <c r="U325" s="466"/>
      <c r="V325" s="466"/>
    </row>
    <row r="326" spans="1:22" x14ac:dyDescent="0.2">
      <c r="A326" s="466"/>
      <c r="B326" s="530">
        <f t="shared" si="26"/>
        <v>309</v>
      </c>
      <c r="C326" s="546">
        <f t="shared" si="23"/>
        <v>74118.749855499453</v>
      </c>
      <c r="D326" s="546">
        <f t="shared" si="27"/>
        <v>13763.887831575048</v>
      </c>
      <c r="E326" s="546">
        <f>IF(B326="","-",SUM($D$18:D326))</f>
        <v>12059231.136372687</v>
      </c>
      <c r="F326" s="546">
        <f t="shared" si="24"/>
        <v>60354.862023924405</v>
      </c>
      <c r="G326" s="546">
        <f>IF(B326="","-",SUM($F$18:F326))</f>
        <v>10101559.146678656</v>
      </c>
      <c r="H326" s="546">
        <f t="shared" si="25"/>
        <v>3416837.8533213506</v>
      </c>
      <c r="I326" s="465"/>
      <c r="J326" s="466"/>
      <c r="K326" s="560"/>
      <c r="M326" s="466"/>
      <c r="N326" s="466"/>
      <c r="O326" s="466"/>
      <c r="P326" s="466"/>
      <c r="Q326" s="466"/>
      <c r="R326" s="466"/>
      <c r="S326" s="466"/>
      <c r="T326" s="466"/>
      <c r="U326" s="466"/>
      <c r="V326" s="466"/>
    </row>
    <row r="327" spans="1:22" x14ac:dyDescent="0.2">
      <c r="A327" s="466"/>
      <c r="B327" s="530">
        <f t="shared" si="26"/>
        <v>310</v>
      </c>
      <c r="C327" s="546">
        <f t="shared" si="23"/>
        <v>74118.749855499453</v>
      </c>
      <c r="D327" s="546">
        <f t="shared" si="27"/>
        <v>13524.983169397014</v>
      </c>
      <c r="E327" s="546">
        <f>IF(B327="","-",SUM($D$18:D327))</f>
        <v>12072756.119542085</v>
      </c>
      <c r="F327" s="546">
        <f t="shared" si="24"/>
        <v>60593.766686102441</v>
      </c>
      <c r="G327" s="546">
        <f>IF(B327="","-",SUM($F$18:F327))</f>
        <v>10162152.913364759</v>
      </c>
      <c r="H327" s="546">
        <f t="shared" si="25"/>
        <v>3356244.0866352483</v>
      </c>
      <c r="I327" s="465"/>
      <c r="J327" s="466"/>
      <c r="K327" s="466"/>
      <c r="M327" s="466"/>
      <c r="N327" s="466"/>
      <c r="O327" s="466"/>
      <c r="P327" s="466"/>
      <c r="Q327" s="466"/>
      <c r="R327" s="466"/>
      <c r="S327" s="466"/>
      <c r="T327" s="466"/>
      <c r="U327" s="466"/>
      <c r="V327" s="466"/>
    </row>
    <row r="328" spans="1:22" x14ac:dyDescent="0.2">
      <c r="A328" s="466"/>
      <c r="B328" s="530">
        <f t="shared" si="26"/>
        <v>311</v>
      </c>
      <c r="C328" s="546">
        <f t="shared" si="23"/>
        <v>74118.749855499453</v>
      </c>
      <c r="D328" s="546">
        <f t="shared" si="27"/>
        <v>13285.132842931192</v>
      </c>
      <c r="E328" s="546">
        <f>IF(B328="","-",SUM($D$18:D328))</f>
        <v>12086041.252385017</v>
      </c>
      <c r="F328" s="546">
        <f t="shared" si="24"/>
        <v>60833.617012568262</v>
      </c>
      <c r="G328" s="546">
        <f>IF(B328="","-",SUM($F$18:F328))</f>
        <v>10222986.530377327</v>
      </c>
      <c r="H328" s="546">
        <f t="shared" si="25"/>
        <v>3295410.46962268</v>
      </c>
      <c r="I328" s="465"/>
      <c r="J328" s="466"/>
      <c r="K328" s="466"/>
      <c r="M328" s="466"/>
      <c r="N328" s="466"/>
      <c r="O328" s="466"/>
      <c r="P328" s="466"/>
      <c r="Q328" s="466"/>
      <c r="R328" s="466"/>
      <c r="S328" s="466"/>
      <c r="T328" s="466"/>
      <c r="U328" s="466"/>
      <c r="V328" s="466"/>
    </row>
    <row r="329" spans="1:22" x14ac:dyDescent="0.2">
      <c r="A329" s="466"/>
      <c r="B329" s="530">
        <f t="shared" si="26"/>
        <v>312</v>
      </c>
      <c r="C329" s="546">
        <f t="shared" si="23"/>
        <v>74118.749855499453</v>
      </c>
      <c r="D329" s="546">
        <f t="shared" si="27"/>
        <v>13044.333108923109</v>
      </c>
      <c r="E329" s="546">
        <f>IF(B329="","-",SUM($D$18:D329))</f>
        <v>12099085.585493939</v>
      </c>
      <c r="F329" s="546">
        <f t="shared" si="24"/>
        <v>61074.416746576346</v>
      </c>
      <c r="G329" s="546">
        <f>IF(B329="","-",SUM($F$18:F329))</f>
        <v>10284060.947123904</v>
      </c>
      <c r="H329" s="546">
        <f t="shared" si="25"/>
        <v>3234336.0528761037</v>
      </c>
      <c r="I329" s="465"/>
      <c r="J329" s="466"/>
      <c r="K329" s="466"/>
      <c r="M329" s="466"/>
      <c r="N329" s="466"/>
      <c r="O329" s="466"/>
      <c r="P329" s="466"/>
      <c r="Q329" s="466"/>
      <c r="R329" s="466"/>
      <c r="S329" s="466"/>
      <c r="T329" s="466"/>
      <c r="U329" s="466"/>
      <c r="V329" s="466"/>
    </row>
    <row r="330" spans="1:22" x14ac:dyDescent="0.2">
      <c r="A330" s="466"/>
      <c r="B330" s="530">
        <f t="shared" si="26"/>
        <v>313</v>
      </c>
      <c r="C330" s="546">
        <f t="shared" si="23"/>
        <v>74118.749855499453</v>
      </c>
      <c r="D330" s="546">
        <f t="shared" si="27"/>
        <v>12802.580209301244</v>
      </c>
      <c r="E330" s="546">
        <f>IF(B330="","-",SUM($D$18:D330))</f>
        <v>12111888.165703241</v>
      </c>
      <c r="F330" s="546">
        <f t="shared" si="24"/>
        <v>61316.169646198206</v>
      </c>
      <c r="G330" s="546">
        <f>IF(B330="","-",SUM($F$18:F330))</f>
        <v>10345377.116770102</v>
      </c>
      <c r="H330" s="546">
        <f t="shared" si="25"/>
        <v>3173019.8832299053</v>
      </c>
      <c r="I330" s="465"/>
      <c r="J330" s="466"/>
      <c r="K330" s="466"/>
      <c r="M330" s="466"/>
      <c r="N330" s="466"/>
      <c r="O330" s="466"/>
      <c r="P330" s="466"/>
      <c r="Q330" s="466"/>
      <c r="R330" s="466"/>
      <c r="S330" s="466"/>
      <c r="T330" s="466"/>
      <c r="U330" s="466"/>
      <c r="V330" s="466"/>
    </row>
    <row r="331" spans="1:22" x14ac:dyDescent="0.2">
      <c r="A331" s="466"/>
      <c r="B331" s="530">
        <f t="shared" si="26"/>
        <v>314</v>
      </c>
      <c r="C331" s="546">
        <f t="shared" si="23"/>
        <v>74118.749855499453</v>
      </c>
      <c r="D331" s="546">
        <f t="shared" si="27"/>
        <v>12559.870371118375</v>
      </c>
      <c r="E331" s="546">
        <f>IF(B331="","-",SUM($D$18:D331))</f>
        <v>12124448.036074359</v>
      </c>
      <c r="F331" s="546">
        <f t="shared" si="24"/>
        <v>61558.879484381076</v>
      </c>
      <c r="G331" s="546">
        <f>IF(B331="","-",SUM($F$18:F331))</f>
        <v>10406935.996254483</v>
      </c>
      <c r="H331" s="546">
        <f t="shared" si="25"/>
        <v>3111461.0037455242</v>
      </c>
      <c r="I331" s="465"/>
      <c r="J331" s="466"/>
      <c r="K331" s="466"/>
      <c r="M331" s="466"/>
      <c r="N331" s="466"/>
      <c r="O331" s="466"/>
      <c r="P331" s="466"/>
      <c r="Q331" s="466"/>
      <c r="R331" s="466"/>
      <c r="S331" s="466"/>
      <c r="T331" s="466"/>
      <c r="U331" s="466"/>
      <c r="V331" s="466"/>
    </row>
    <row r="332" spans="1:22" x14ac:dyDescent="0.2">
      <c r="A332" s="466"/>
      <c r="B332" s="530">
        <f t="shared" si="26"/>
        <v>315</v>
      </c>
      <c r="C332" s="546">
        <f t="shared" si="23"/>
        <v>74118.749855499453</v>
      </c>
      <c r="D332" s="546">
        <f t="shared" si="27"/>
        <v>12316.199806492701</v>
      </c>
      <c r="E332" s="546">
        <f>IF(B332="","-",SUM($D$18:D332))</f>
        <v>12136764.235880852</v>
      </c>
      <c r="F332" s="546">
        <f t="shared" si="24"/>
        <v>61802.55004900675</v>
      </c>
      <c r="G332" s="546">
        <f>IF(B332="","-",SUM($F$18:F332))</f>
        <v>10468738.54630349</v>
      </c>
      <c r="H332" s="546">
        <f t="shared" si="25"/>
        <v>3049658.4536965173</v>
      </c>
      <c r="I332" s="465"/>
      <c r="J332" s="466"/>
      <c r="K332" s="466"/>
      <c r="M332" s="466"/>
      <c r="N332" s="466"/>
      <c r="O332" s="466"/>
      <c r="P332" s="466"/>
      <c r="Q332" s="466"/>
      <c r="R332" s="466"/>
      <c r="S332" s="466"/>
      <c r="T332" s="466"/>
      <c r="U332" s="466"/>
      <c r="V332" s="466"/>
    </row>
    <row r="333" spans="1:22" x14ac:dyDescent="0.2">
      <c r="A333" s="466"/>
      <c r="B333" s="530">
        <f t="shared" si="26"/>
        <v>316</v>
      </c>
      <c r="C333" s="546">
        <f t="shared" si="23"/>
        <v>74118.749855499453</v>
      </c>
      <c r="D333" s="546">
        <f t="shared" si="27"/>
        <v>12071.564712548716</v>
      </c>
      <c r="E333" s="546">
        <f>IF(B333="","-",SUM($D$18:D333))</f>
        <v>12148835.8005934</v>
      </c>
      <c r="F333" s="546">
        <f t="shared" si="24"/>
        <v>62047.185142950737</v>
      </c>
      <c r="G333" s="546">
        <f>IF(B333="","-",SUM($F$18:F333))</f>
        <v>10530785.731446441</v>
      </c>
      <c r="H333" s="546">
        <f t="shared" si="25"/>
        <v>2987611.2685535667</v>
      </c>
      <c r="I333" s="465"/>
      <c r="J333" s="466"/>
      <c r="K333" s="466"/>
      <c r="M333" s="466"/>
      <c r="N333" s="466"/>
      <c r="O333" s="466"/>
      <c r="P333" s="466"/>
      <c r="Q333" s="466"/>
      <c r="R333" s="466"/>
      <c r="S333" s="466"/>
      <c r="T333" s="466"/>
      <c r="U333" s="466"/>
      <c r="V333" s="466"/>
    </row>
    <row r="334" spans="1:22" x14ac:dyDescent="0.2">
      <c r="A334" s="466"/>
      <c r="B334" s="530">
        <f t="shared" si="26"/>
        <v>317</v>
      </c>
      <c r="C334" s="546">
        <f t="shared" si="23"/>
        <v>74118.749855499453</v>
      </c>
      <c r="D334" s="546">
        <f t="shared" si="27"/>
        <v>11825.961271357868</v>
      </c>
      <c r="E334" s="546">
        <f>IF(B334="","-",SUM($D$18:D334))</f>
        <v>12160661.761864759</v>
      </c>
      <c r="F334" s="546">
        <f t="shared" si="24"/>
        <v>62292.788584141585</v>
      </c>
      <c r="G334" s="546">
        <f>IF(B334="","-",SUM($F$18:F334))</f>
        <v>10593078.520030582</v>
      </c>
      <c r="H334" s="546">
        <f t="shared" si="25"/>
        <v>2925318.4799694251</v>
      </c>
      <c r="I334" s="465"/>
      <c r="J334" s="466"/>
      <c r="K334" s="466"/>
      <c r="M334" s="466"/>
      <c r="N334" s="466"/>
      <c r="O334" s="466"/>
      <c r="P334" s="466"/>
      <c r="Q334" s="466"/>
      <c r="R334" s="466"/>
      <c r="S334" s="466"/>
      <c r="T334" s="466"/>
      <c r="U334" s="466"/>
      <c r="V334" s="466"/>
    </row>
    <row r="335" spans="1:22" x14ac:dyDescent="0.2">
      <c r="A335" s="466"/>
      <c r="B335" s="530">
        <f t="shared" si="26"/>
        <v>318</v>
      </c>
      <c r="C335" s="546">
        <f t="shared" si="23"/>
        <v>74118.749855499453</v>
      </c>
      <c r="D335" s="546">
        <f t="shared" si="27"/>
        <v>11579.385649878976</v>
      </c>
      <c r="E335" s="546">
        <f>IF(B335="","-",SUM($D$18:D335))</f>
        <v>12172241.147514638</v>
      </c>
      <c r="F335" s="546">
        <f t="shared" si="24"/>
        <v>62539.364205620477</v>
      </c>
      <c r="G335" s="546">
        <f>IF(B335="","-",SUM($F$18:F335))</f>
        <v>10655617.884236204</v>
      </c>
      <c r="H335" s="546">
        <f t="shared" si="25"/>
        <v>2862779.1157638049</v>
      </c>
      <c r="I335" s="465"/>
      <c r="J335" s="466"/>
      <c r="K335" s="466"/>
      <c r="M335" s="466"/>
      <c r="N335" s="466"/>
      <c r="O335" s="466"/>
      <c r="P335" s="466"/>
      <c r="Q335" s="466"/>
      <c r="R335" s="466"/>
      <c r="S335" s="466"/>
      <c r="T335" s="466"/>
      <c r="U335" s="466"/>
      <c r="V335" s="466"/>
    </row>
    <row r="336" spans="1:22" x14ac:dyDescent="0.2">
      <c r="A336" s="466"/>
      <c r="B336" s="530">
        <f t="shared" si="26"/>
        <v>319</v>
      </c>
      <c r="C336" s="546">
        <f t="shared" si="23"/>
        <v>74118.749855499453</v>
      </c>
      <c r="D336" s="546">
        <f t="shared" si="27"/>
        <v>11331.833999898396</v>
      </c>
      <c r="E336" s="546">
        <f>IF(B336="","-",SUM($D$18:D336))</f>
        <v>12183572.981514536</v>
      </c>
      <c r="F336" s="546">
        <f t="shared" si="24"/>
        <v>62786.915855601059</v>
      </c>
      <c r="G336" s="546">
        <f>IF(B336="","-",SUM($F$18:F336))</f>
        <v>10718404.800091805</v>
      </c>
      <c r="H336" s="546">
        <f t="shared" si="25"/>
        <v>2799992.1999082039</v>
      </c>
      <c r="I336" s="465"/>
      <c r="J336" s="466"/>
      <c r="K336" s="466"/>
      <c r="M336" s="466"/>
      <c r="N336" s="466"/>
      <c r="O336" s="466"/>
      <c r="P336" s="466"/>
      <c r="Q336" s="466"/>
      <c r="R336" s="466"/>
      <c r="S336" s="466"/>
      <c r="T336" s="466"/>
      <c r="U336" s="466"/>
      <c r="V336" s="466"/>
    </row>
    <row r="337" spans="1:22" x14ac:dyDescent="0.2">
      <c r="A337" s="466"/>
      <c r="B337" s="530">
        <f t="shared" si="26"/>
        <v>320</v>
      </c>
      <c r="C337" s="546">
        <f t="shared" si="23"/>
        <v>74118.749855499453</v>
      </c>
      <c r="D337" s="546">
        <f t="shared" si="27"/>
        <v>11083.302457969974</v>
      </c>
      <c r="E337" s="546">
        <f>IF(B337="","-",SUM($D$18:D337))</f>
        <v>12194656.283972505</v>
      </c>
      <c r="F337" s="546">
        <f t="shared" si="24"/>
        <v>63035.447397529482</v>
      </c>
      <c r="G337" s="546">
        <f>IF(B337="","-",SUM($F$18:F337))</f>
        <v>10781440.247489335</v>
      </c>
      <c r="H337" s="546">
        <f t="shared" si="25"/>
        <v>2736956.7525106743</v>
      </c>
      <c r="I337" s="465"/>
      <c r="J337" s="466"/>
      <c r="K337" s="466"/>
      <c r="M337" s="466"/>
      <c r="N337" s="466"/>
      <c r="O337" s="466"/>
      <c r="P337" s="466"/>
      <c r="Q337" s="466"/>
      <c r="R337" s="466"/>
      <c r="S337" s="466"/>
      <c r="T337" s="466"/>
      <c r="U337" s="466"/>
      <c r="V337" s="466"/>
    </row>
    <row r="338" spans="1:22" x14ac:dyDescent="0.2">
      <c r="A338" s="466"/>
      <c r="B338" s="530">
        <f t="shared" si="26"/>
        <v>321</v>
      </c>
      <c r="C338" s="546">
        <f t="shared" ref="C338:C378" si="28">IF(B338="","-",$D$7)</f>
        <v>74118.749855499453</v>
      </c>
      <c r="D338" s="546">
        <f t="shared" si="27"/>
        <v>10833.787145354754</v>
      </c>
      <c r="E338" s="546">
        <f>IF(B338="","-",SUM($D$18:D338))</f>
        <v>12205490.071117859</v>
      </c>
      <c r="F338" s="546">
        <f t="shared" ref="F338:F378" si="29">IF(B338="","-",C338-D338)</f>
        <v>63284.962710144697</v>
      </c>
      <c r="G338" s="546">
        <f>IF(B338="","-",SUM($F$18:F338))</f>
        <v>10844725.210199479</v>
      </c>
      <c r="H338" s="546">
        <f t="shared" ref="H338:H378" si="30">IF(B338="","-",H337-F338)</f>
        <v>2673671.7898005294</v>
      </c>
      <c r="I338" s="465"/>
      <c r="J338" s="466"/>
      <c r="K338" s="466"/>
      <c r="M338" s="466"/>
      <c r="N338" s="466"/>
      <c r="O338" s="466"/>
      <c r="P338" s="466"/>
      <c r="Q338" s="466"/>
      <c r="R338" s="466"/>
      <c r="S338" s="466"/>
      <c r="T338" s="466"/>
      <c r="U338" s="466"/>
      <c r="V338" s="466"/>
    </row>
    <row r="339" spans="1:22" x14ac:dyDescent="0.2">
      <c r="A339" s="466"/>
      <c r="B339" s="530">
        <f t="shared" ref="B339:B377" si="31">IF(B338&gt;=$D$5*12,"",B338+1)</f>
        <v>322</v>
      </c>
      <c r="C339" s="546">
        <f t="shared" si="28"/>
        <v>74118.749855499453</v>
      </c>
      <c r="D339" s="546">
        <f t="shared" ref="D339:D378" si="32">IF(B339="","-",$D$4/12*H338)</f>
        <v>10583.28416796043</v>
      </c>
      <c r="E339" s="546">
        <f>IF(B339="","-",SUM($D$18:D339))</f>
        <v>12216073.35528582</v>
      </c>
      <c r="F339" s="546">
        <f t="shared" si="29"/>
        <v>63535.465687539021</v>
      </c>
      <c r="G339" s="546">
        <f>IF(B339="","-",SUM($F$18:F339))</f>
        <v>10908260.675887018</v>
      </c>
      <c r="H339" s="546">
        <f t="shared" si="30"/>
        <v>2610136.3241129904</v>
      </c>
      <c r="I339" s="465"/>
      <c r="J339" s="466"/>
      <c r="K339" s="466"/>
      <c r="M339" s="466"/>
      <c r="N339" s="466"/>
      <c r="O339" s="466"/>
      <c r="P339" s="466"/>
      <c r="Q339" s="466"/>
      <c r="R339" s="466"/>
      <c r="S339" s="466"/>
      <c r="T339" s="466"/>
      <c r="U339" s="466"/>
      <c r="V339" s="466"/>
    </row>
    <row r="340" spans="1:22" x14ac:dyDescent="0.2">
      <c r="A340" s="466"/>
      <c r="B340" s="530">
        <f t="shared" si="31"/>
        <v>323</v>
      </c>
      <c r="C340" s="546">
        <f t="shared" si="28"/>
        <v>74118.749855499453</v>
      </c>
      <c r="D340" s="546">
        <f t="shared" si="32"/>
        <v>10331.789616280588</v>
      </c>
      <c r="E340" s="546">
        <f>IF(B340="","-",SUM($D$18:D340))</f>
        <v>12226405.144902101</v>
      </c>
      <c r="F340" s="546">
        <f t="shared" si="29"/>
        <v>63786.960239218868</v>
      </c>
      <c r="G340" s="546">
        <f>IF(B340="","-",SUM($F$18:F340))</f>
        <v>10972047.636126237</v>
      </c>
      <c r="H340" s="546">
        <f t="shared" si="30"/>
        <v>2546349.3638737714</v>
      </c>
      <c r="I340" s="465"/>
      <c r="J340" s="466"/>
      <c r="K340" s="466"/>
      <c r="M340" s="466"/>
      <c r="N340" s="466"/>
      <c r="O340" s="466"/>
      <c r="P340" s="466"/>
      <c r="Q340" s="466"/>
      <c r="R340" s="466"/>
      <c r="S340" s="466"/>
      <c r="T340" s="466"/>
      <c r="U340" s="466"/>
      <c r="V340" s="466"/>
    </row>
    <row r="341" spans="1:22" x14ac:dyDescent="0.2">
      <c r="A341" s="466"/>
      <c r="B341" s="530">
        <f t="shared" si="31"/>
        <v>324</v>
      </c>
      <c r="C341" s="546">
        <f t="shared" si="28"/>
        <v>74118.749855499453</v>
      </c>
      <c r="D341" s="546">
        <f t="shared" si="32"/>
        <v>10079.299565333678</v>
      </c>
      <c r="E341" s="546">
        <f>IF(B341="","-",SUM($D$18:D341))</f>
        <v>12236484.444467435</v>
      </c>
      <c r="F341" s="546">
        <f t="shared" si="29"/>
        <v>64039.450290165776</v>
      </c>
      <c r="G341" s="546">
        <f>IF(B341="","-",SUM($F$18:F341))</f>
        <v>11036087.086416403</v>
      </c>
      <c r="H341" s="546">
        <f t="shared" si="30"/>
        <v>2482309.9135836056</v>
      </c>
      <c r="I341" s="465"/>
      <c r="J341" s="466"/>
      <c r="K341" s="466"/>
      <c r="M341" s="466"/>
      <c r="N341" s="466"/>
      <c r="O341" s="466"/>
      <c r="P341" s="466"/>
      <c r="Q341" s="466"/>
      <c r="R341" s="466"/>
      <c r="S341" s="466"/>
      <c r="T341" s="466"/>
      <c r="U341" s="466"/>
      <c r="V341" s="466"/>
    </row>
    <row r="342" spans="1:22" x14ac:dyDescent="0.2">
      <c r="A342" s="466"/>
      <c r="B342" s="530">
        <f t="shared" si="31"/>
        <v>325</v>
      </c>
      <c r="C342" s="546">
        <f t="shared" si="28"/>
        <v>74118.749855499453</v>
      </c>
      <c r="D342" s="546">
        <f t="shared" si="32"/>
        <v>9825.8100746017735</v>
      </c>
      <c r="E342" s="546">
        <f>IF(B342="","-",SUM($D$18:D342))</f>
        <v>12246310.254542036</v>
      </c>
      <c r="F342" s="546">
        <f t="shared" si="29"/>
        <v>64292.939780897679</v>
      </c>
      <c r="G342" s="546">
        <f>IF(B342="","-",SUM($F$18:F342))</f>
        <v>11100380.026197301</v>
      </c>
      <c r="H342" s="546">
        <f t="shared" si="30"/>
        <v>2418016.9738027081</v>
      </c>
      <c r="I342" s="465"/>
      <c r="J342" s="466"/>
      <c r="K342" s="466"/>
      <c r="M342" s="466"/>
      <c r="N342" s="466"/>
      <c r="O342" s="466"/>
      <c r="P342" s="466"/>
      <c r="Q342" s="466"/>
      <c r="R342" s="466"/>
      <c r="S342" s="466"/>
      <c r="T342" s="466"/>
      <c r="U342" s="466"/>
      <c r="V342" s="466"/>
    </row>
    <row r="343" spans="1:22" x14ac:dyDescent="0.2">
      <c r="A343" s="466"/>
      <c r="B343" s="530">
        <f t="shared" si="31"/>
        <v>326</v>
      </c>
      <c r="C343" s="546">
        <f t="shared" si="28"/>
        <v>74118.749855499453</v>
      </c>
      <c r="D343" s="546">
        <f t="shared" si="32"/>
        <v>9571.3171879690544</v>
      </c>
      <c r="E343" s="546">
        <f>IF(B343="","-",SUM($D$18:D343))</f>
        <v>12255881.571730005</v>
      </c>
      <c r="F343" s="546">
        <f t="shared" si="29"/>
        <v>64547.432667530396</v>
      </c>
      <c r="G343" s="546">
        <f>IF(B343="","-",SUM($F$18:F343))</f>
        <v>11164927.458864832</v>
      </c>
      <c r="H343" s="546">
        <f t="shared" si="30"/>
        <v>2353469.5411351775</v>
      </c>
      <c r="I343" s="465"/>
      <c r="J343" s="466"/>
      <c r="K343" s="466"/>
      <c r="M343" s="466"/>
      <c r="N343" s="466"/>
      <c r="O343" s="466"/>
      <c r="P343" s="466"/>
      <c r="Q343" s="466"/>
      <c r="R343" s="466"/>
      <c r="S343" s="466"/>
      <c r="T343" s="466"/>
      <c r="U343" s="466"/>
      <c r="V343" s="466"/>
    </row>
    <row r="344" spans="1:22" x14ac:dyDescent="0.2">
      <c r="A344" s="466"/>
      <c r="B344" s="530">
        <f t="shared" si="31"/>
        <v>327</v>
      </c>
      <c r="C344" s="546">
        <f t="shared" si="28"/>
        <v>74118.749855499453</v>
      </c>
      <c r="D344" s="546">
        <f t="shared" si="32"/>
        <v>9315.8169336600786</v>
      </c>
      <c r="E344" s="546">
        <f>IF(B344="","-",SUM($D$18:D344))</f>
        <v>12265197.388663664</v>
      </c>
      <c r="F344" s="546">
        <f t="shared" si="29"/>
        <v>64802.932921839376</v>
      </c>
      <c r="G344" s="546">
        <f>IF(B344="","-",SUM($F$18:F344))</f>
        <v>11229730.391786672</v>
      </c>
      <c r="H344" s="546">
        <f t="shared" si="30"/>
        <v>2288666.6082133381</v>
      </c>
      <c r="I344" s="465"/>
      <c r="J344" s="466"/>
      <c r="K344" s="466"/>
      <c r="M344" s="466"/>
      <c r="N344" s="466"/>
      <c r="O344" s="466"/>
      <c r="P344" s="466"/>
      <c r="Q344" s="466"/>
      <c r="R344" s="466"/>
      <c r="S344" s="466"/>
      <c r="T344" s="466"/>
      <c r="U344" s="466"/>
      <c r="V344" s="466"/>
    </row>
    <row r="345" spans="1:22" x14ac:dyDescent="0.2">
      <c r="A345" s="466"/>
      <c r="B345" s="530">
        <f t="shared" si="31"/>
        <v>328</v>
      </c>
      <c r="C345" s="546">
        <f t="shared" si="28"/>
        <v>74118.749855499453</v>
      </c>
      <c r="D345" s="546">
        <f t="shared" si="32"/>
        <v>9059.305324177798</v>
      </c>
      <c r="E345" s="546">
        <f>IF(B345="","-",SUM($D$18:D345))</f>
        <v>12274256.693987843</v>
      </c>
      <c r="F345" s="546">
        <f t="shared" si="29"/>
        <v>65059.444531321657</v>
      </c>
      <c r="G345" s="546">
        <f>IF(B345="","-",SUM($F$18:F345))</f>
        <v>11294789.836317994</v>
      </c>
      <c r="H345" s="546">
        <f t="shared" si="30"/>
        <v>2223607.1636820165</v>
      </c>
      <c r="I345" s="465"/>
      <c r="J345" s="466"/>
      <c r="K345" s="466"/>
      <c r="M345" s="466"/>
      <c r="N345" s="466"/>
      <c r="O345" s="466"/>
      <c r="P345" s="466"/>
      <c r="Q345" s="466"/>
      <c r="R345" s="466"/>
      <c r="S345" s="466"/>
      <c r="T345" s="466"/>
      <c r="U345" s="466"/>
      <c r="V345" s="466"/>
    </row>
    <row r="346" spans="1:22" x14ac:dyDescent="0.2">
      <c r="A346" s="466"/>
      <c r="B346" s="530">
        <f t="shared" si="31"/>
        <v>329</v>
      </c>
      <c r="C346" s="546">
        <f t="shared" si="28"/>
        <v>74118.749855499453</v>
      </c>
      <c r="D346" s="546">
        <f t="shared" si="32"/>
        <v>8801.7783562413169</v>
      </c>
      <c r="E346" s="546">
        <f>IF(B346="","-",SUM($D$18:D346))</f>
        <v>12283058.472344084</v>
      </c>
      <c r="F346" s="546">
        <f t="shared" si="29"/>
        <v>65316.971499258136</v>
      </c>
      <c r="G346" s="546">
        <f>IF(B346="","-",SUM($F$18:F346))</f>
        <v>11360106.807817252</v>
      </c>
      <c r="H346" s="546">
        <f t="shared" si="30"/>
        <v>2158290.1921827584</v>
      </c>
      <c r="I346" s="465"/>
      <c r="J346" s="466"/>
      <c r="K346" s="466"/>
      <c r="M346" s="466"/>
      <c r="N346" s="466"/>
      <c r="O346" s="466"/>
      <c r="P346" s="466"/>
      <c r="Q346" s="466"/>
      <c r="R346" s="466"/>
      <c r="S346" s="466"/>
      <c r="T346" s="466"/>
      <c r="U346" s="466"/>
      <c r="V346" s="466"/>
    </row>
    <row r="347" spans="1:22" x14ac:dyDescent="0.2">
      <c r="A347" s="466"/>
      <c r="B347" s="530">
        <f t="shared" si="31"/>
        <v>330</v>
      </c>
      <c r="C347" s="546">
        <f t="shared" si="28"/>
        <v>74118.749855499453</v>
      </c>
      <c r="D347" s="546">
        <f t="shared" si="32"/>
        <v>8543.2320107234191</v>
      </c>
      <c r="E347" s="546">
        <f>IF(B347="","-",SUM($D$18:D347))</f>
        <v>12291601.704354808</v>
      </c>
      <c r="F347" s="546">
        <f t="shared" si="29"/>
        <v>65575.517844776041</v>
      </c>
      <c r="G347" s="546">
        <f>IF(B347="","-",SUM($F$18:F347))</f>
        <v>11425682.325662028</v>
      </c>
      <c r="H347" s="546">
        <f t="shared" si="30"/>
        <v>2092714.6743379822</v>
      </c>
      <c r="I347" s="465"/>
      <c r="J347" s="466"/>
      <c r="K347" s="466"/>
      <c r="M347" s="466"/>
      <c r="N347" s="466"/>
      <c r="O347" s="466"/>
      <c r="P347" s="466"/>
      <c r="Q347" s="466"/>
      <c r="R347" s="466"/>
      <c r="S347" s="466"/>
      <c r="T347" s="466"/>
      <c r="U347" s="466"/>
      <c r="V347" s="466"/>
    </row>
    <row r="348" spans="1:22" x14ac:dyDescent="0.2">
      <c r="A348" s="466"/>
      <c r="B348" s="530">
        <f t="shared" si="31"/>
        <v>331</v>
      </c>
      <c r="C348" s="546">
        <f t="shared" si="28"/>
        <v>74118.749855499453</v>
      </c>
      <c r="D348" s="546">
        <f t="shared" si="32"/>
        <v>8283.6622525878465</v>
      </c>
      <c r="E348" s="546">
        <f>IF(B348="","-",SUM($D$18:D348))</f>
        <v>12299885.366607396</v>
      </c>
      <c r="F348" s="546">
        <f t="shared" si="29"/>
        <v>65835.087602911604</v>
      </c>
      <c r="G348" s="546">
        <f>IF(B348="","-",SUM($F$18:F348))</f>
        <v>11491517.41326494</v>
      </c>
      <c r="H348" s="546">
        <f t="shared" si="30"/>
        <v>2026879.5867350707</v>
      </c>
      <c r="I348" s="465"/>
      <c r="J348" s="466"/>
      <c r="K348" s="466"/>
      <c r="M348" s="466"/>
      <c r="N348" s="466"/>
      <c r="O348" s="466"/>
      <c r="P348" s="466"/>
      <c r="Q348" s="466"/>
      <c r="R348" s="466"/>
      <c r="S348" s="466"/>
      <c r="T348" s="466"/>
      <c r="U348" s="466"/>
      <c r="V348" s="466"/>
    </row>
    <row r="349" spans="1:22" x14ac:dyDescent="0.2">
      <c r="A349" s="466"/>
      <c r="B349" s="530">
        <f t="shared" si="31"/>
        <v>332</v>
      </c>
      <c r="C349" s="546">
        <f t="shared" si="28"/>
        <v>74118.749855499453</v>
      </c>
      <c r="D349" s="546">
        <f t="shared" si="32"/>
        <v>8023.0650308263221</v>
      </c>
      <c r="E349" s="546">
        <f>IF(B349="","-",SUM($D$18:D349))</f>
        <v>12307908.431638222</v>
      </c>
      <c r="F349" s="546">
        <f t="shared" si="29"/>
        <v>66095.684824673124</v>
      </c>
      <c r="G349" s="546">
        <f>IF(B349="","-",SUM($F$18:F349))</f>
        <v>11557613.098089613</v>
      </c>
      <c r="H349" s="546">
        <f t="shared" si="30"/>
        <v>1960783.9019103975</v>
      </c>
      <c r="I349" s="465"/>
      <c r="J349" s="466"/>
      <c r="K349" s="466"/>
      <c r="M349" s="466"/>
      <c r="N349" s="466"/>
      <c r="O349" s="466"/>
      <c r="P349" s="466"/>
      <c r="Q349" s="466"/>
      <c r="R349" s="466"/>
      <c r="S349" s="466"/>
      <c r="T349" s="466"/>
      <c r="U349" s="466"/>
      <c r="V349" s="466"/>
    </row>
    <row r="350" spans="1:22" x14ac:dyDescent="0.2">
      <c r="A350" s="466"/>
      <c r="B350" s="530">
        <f t="shared" si="31"/>
        <v>333</v>
      </c>
      <c r="C350" s="546">
        <f t="shared" si="28"/>
        <v>74118.749855499453</v>
      </c>
      <c r="D350" s="546">
        <f t="shared" si="32"/>
        <v>7761.4362783953238</v>
      </c>
      <c r="E350" s="546">
        <f>IF(B350="","-",SUM($D$18:D350))</f>
        <v>12315669.867916618</v>
      </c>
      <c r="F350" s="546">
        <f t="shared" si="29"/>
        <v>66357.313577104127</v>
      </c>
      <c r="G350" s="546">
        <f>IF(B350="","-",SUM($F$18:F350))</f>
        <v>11623970.411666717</v>
      </c>
      <c r="H350" s="546">
        <f t="shared" si="30"/>
        <v>1894426.5883332933</v>
      </c>
      <c r="I350" s="465"/>
      <c r="J350" s="466"/>
      <c r="K350" s="466"/>
      <c r="M350" s="466"/>
      <c r="N350" s="466"/>
      <c r="O350" s="466"/>
      <c r="P350" s="466"/>
      <c r="Q350" s="466"/>
      <c r="R350" s="466"/>
      <c r="S350" s="466"/>
      <c r="T350" s="466"/>
      <c r="U350" s="466"/>
      <c r="V350" s="466"/>
    </row>
    <row r="351" spans="1:22" x14ac:dyDescent="0.2">
      <c r="A351" s="466"/>
      <c r="B351" s="530">
        <f t="shared" si="31"/>
        <v>334</v>
      </c>
      <c r="C351" s="546">
        <f t="shared" si="28"/>
        <v>74118.749855499453</v>
      </c>
      <c r="D351" s="546">
        <f t="shared" si="32"/>
        <v>7498.7719121526197</v>
      </c>
      <c r="E351" s="546">
        <f>IF(B351="","-",SUM($D$18:D351))</f>
        <v>12323168.639828769</v>
      </c>
      <c r="F351" s="546">
        <f t="shared" si="29"/>
        <v>66619.977943346836</v>
      </c>
      <c r="G351" s="546">
        <f>IF(B351="","-",SUM($F$18:F351))</f>
        <v>11690590.389610063</v>
      </c>
      <c r="H351" s="546">
        <f t="shared" si="30"/>
        <v>1827806.6103899465</v>
      </c>
      <c r="I351" s="465"/>
      <c r="J351" s="466"/>
      <c r="K351" s="466"/>
      <c r="M351" s="466"/>
      <c r="N351" s="466"/>
      <c r="O351" s="466"/>
      <c r="P351" s="466"/>
      <c r="Q351" s="466"/>
      <c r="R351" s="466"/>
      <c r="S351" s="466"/>
      <c r="T351" s="466"/>
      <c r="U351" s="466"/>
      <c r="V351" s="466"/>
    </row>
    <row r="352" spans="1:22" x14ac:dyDescent="0.2">
      <c r="A352" s="466"/>
      <c r="B352" s="530">
        <f t="shared" si="31"/>
        <v>335</v>
      </c>
      <c r="C352" s="546">
        <f t="shared" si="28"/>
        <v>74118.749855499453</v>
      </c>
      <c r="D352" s="546">
        <f t="shared" si="32"/>
        <v>7235.0678327935384</v>
      </c>
      <c r="E352" s="546">
        <f>IF(B352="","-",SUM($D$18:D352))</f>
        <v>12330403.707661564</v>
      </c>
      <c r="F352" s="546">
        <f t="shared" si="29"/>
        <v>66883.682022705907</v>
      </c>
      <c r="G352" s="546">
        <f>IF(B352="","-",SUM($F$18:F352))</f>
        <v>11757474.071632769</v>
      </c>
      <c r="H352" s="546">
        <f t="shared" si="30"/>
        <v>1760922.9283672406</v>
      </c>
      <c r="I352" s="465"/>
      <c r="J352" s="466"/>
      <c r="K352" s="466"/>
      <c r="M352" s="466"/>
      <c r="N352" s="466"/>
      <c r="O352" s="466"/>
      <c r="P352" s="466"/>
      <c r="Q352" s="466"/>
      <c r="R352" s="466"/>
      <c r="S352" s="466"/>
      <c r="T352" s="466"/>
      <c r="U352" s="466"/>
      <c r="V352" s="466"/>
    </row>
    <row r="353" spans="1:22" x14ac:dyDescent="0.2">
      <c r="A353" s="466"/>
      <c r="B353" s="530">
        <f t="shared" si="31"/>
        <v>336</v>
      </c>
      <c r="C353" s="546">
        <f t="shared" si="28"/>
        <v>74118.749855499453</v>
      </c>
      <c r="D353" s="546">
        <f t="shared" si="32"/>
        <v>6970.3199247869943</v>
      </c>
      <c r="E353" s="546">
        <f>IF(B353="","-",SUM($D$18:D353))</f>
        <v>12337374.02758635</v>
      </c>
      <c r="F353" s="546">
        <f t="shared" si="29"/>
        <v>67148.42993071246</v>
      </c>
      <c r="G353" s="546">
        <f>IF(B353="","-",SUM($F$18:F353))</f>
        <v>11824622.501563482</v>
      </c>
      <c r="H353" s="546">
        <f t="shared" si="30"/>
        <v>1693774.498436528</v>
      </c>
      <c r="I353" s="465"/>
      <c r="J353" s="466"/>
      <c r="K353" s="466"/>
      <c r="M353" s="466"/>
      <c r="N353" s="466"/>
      <c r="O353" s="466"/>
      <c r="P353" s="466"/>
      <c r="Q353" s="466"/>
      <c r="R353" s="466"/>
      <c r="S353" s="466"/>
      <c r="T353" s="466"/>
      <c r="U353" s="466"/>
      <c r="V353" s="466"/>
    </row>
    <row r="354" spans="1:22" x14ac:dyDescent="0.2">
      <c r="A354" s="466"/>
      <c r="B354" s="530">
        <f t="shared" si="31"/>
        <v>337</v>
      </c>
      <c r="C354" s="546">
        <f t="shared" si="28"/>
        <v>74118.749855499453</v>
      </c>
      <c r="D354" s="546">
        <f t="shared" si="32"/>
        <v>6704.5240563112575</v>
      </c>
      <c r="E354" s="546">
        <f>IF(B354="","-",SUM($D$18:D354))</f>
        <v>12344078.551642662</v>
      </c>
      <c r="F354" s="546">
        <f t="shared" si="29"/>
        <v>67414.225799188192</v>
      </c>
      <c r="G354" s="546">
        <f>IF(B354="","-",SUM($F$18:F354))</f>
        <v>11892036.72736267</v>
      </c>
      <c r="H354" s="546">
        <f t="shared" si="30"/>
        <v>1626360.2726373398</v>
      </c>
      <c r="I354" s="465"/>
      <c r="J354" s="466"/>
      <c r="K354" s="466"/>
      <c r="M354" s="466"/>
      <c r="N354" s="466"/>
      <c r="O354" s="466"/>
      <c r="P354" s="466"/>
      <c r="Q354" s="466"/>
      <c r="R354" s="466"/>
      <c r="S354" s="466"/>
      <c r="T354" s="466"/>
      <c r="U354" s="466"/>
      <c r="V354" s="466"/>
    </row>
    <row r="355" spans="1:22" x14ac:dyDescent="0.2">
      <c r="A355" s="466"/>
      <c r="B355" s="530">
        <f t="shared" si="31"/>
        <v>338</v>
      </c>
      <c r="C355" s="546">
        <f t="shared" si="28"/>
        <v>74118.749855499453</v>
      </c>
      <c r="D355" s="546">
        <f t="shared" si="32"/>
        <v>6437.6760791894703</v>
      </c>
      <c r="E355" s="546">
        <f>IF(B355="","-",SUM($D$18:D355))</f>
        <v>12350516.227721851</v>
      </c>
      <c r="F355" s="546">
        <f t="shared" si="29"/>
        <v>67681.07377630999</v>
      </c>
      <c r="G355" s="546">
        <f>IF(B355="","-",SUM($F$18:F355))</f>
        <v>11959717.80113898</v>
      </c>
      <c r="H355" s="546">
        <f t="shared" si="30"/>
        <v>1558679.1988610297</v>
      </c>
      <c r="I355" s="465"/>
      <c r="J355" s="466"/>
      <c r="K355" s="466"/>
      <c r="M355" s="466"/>
      <c r="N355" s="466"/>
      <c r="O355" s="466"/>
      <c r="P355" s="466"/>
      <c r="Q355" s="466"/>
      <c r="R355" s="466"/>
      <c r="S355" s="466"/>
      <c r="T355" s="466"/>
      <c r="U355" s="466"/>
      <c r="V355" s="466"/>
    </row>
    <row r="356" spans="1:22" x14ac:dyDescent="0.2">
      <c r="A356" s="466"/>
      <c r="B356" s="530">
        <f t="shared" si="31"/>
        <v>339</v>
      </c>
      <c r="C356" s="546">
        <f t="shared" si="28"/>
        <v>74118.749855499453</v>
      </c>
      <c r="D356" s="546">
        <f t="shared" si="32"/>
        <v>6169.7718288249098</v>
      </c>
      <c r="E356" s="546">
        <f>IF(B356="","-",SUM($D$18:D356))</f>
        <v>12356685.999550676</v>
      </c>
      <c r="F356" s="546">
        <f t="shared" si="29"/>
        <v>67948.978026674537</v>
      </c>
      <c r="G356" s="546">
        <f>IF(B356="","-",SUM($F$18:F356))</f>
        <v>12027666.779165655</v>
      </c>
      <c r="H356" s="546">
        <f t="shared" si="30"/>
        <v>1490730.2208343551</v>
      </c>
      <c r="I356" s="465"/>
      <c r="J356" s="466"/>
      <c r="K356" s="466"/>
      <c r="M356" s="466"/>
      <c r="N356" s="466"/>
      <c r="O356" s="466"/>
      <c r="P356" s="466"/>
      <c r="Q356" s="466"/>
      <c r="R356" s="466"/>
      <c r="S356" s="466"/>
      <c r="T356" s="466"/>
      <c r="U356" s="466"/>
      <c r="V356" s="466"/>
    </row>
    <row r="357" spans="1:22" x14ac:dyDescent="0.2">
      <c r="A357" s="466"/>
      <c r="B357" s="530">
        <f t="shared" si="31"/>
        <v>340</v>
      </c>
      <c r="C357" s="546">
        <f t="shared" si="28"/>
        <v>74118.749855499453</v>
      </c>
      <c r="D357" s="546">
        <f t="shared" si="32"/>
        <v>5900.8071241359894</v>
      </c>
      <c r="E357" s="546">
        <f>IF(B357="","-",SUM($D$18:D357))</f>
        <v>12362586.806674812</v>
      </c>
      <c r="F357" s="546">
        <f t="shared" si="29"/>
        <v>68217.942731363466</v>
      </c>
      <c r="G357" s="546">
        <f>IF(B357="","-",SUM($F$18:F357))</f>
        <v>12095884.721897019</v>
      </c>
      <c r="H357" s="546">
        <f t="shared" si="30"/>
        <v>1422512.2781029916</v>
      </c>
      <c r="I357" s="465"/>
      <c r="J357" s="466"/>
      <c r="K357" s="466"/>
      <c r="M357" s="466"/>
      <c r="N357" s="466"/>
      <c r="O357" s="466"/>
      <c r="P357" s="466"/>
      <c r="Q357" s="466"/>
      <c r="R357" s="466"/>
      <c r="S357" s="466"/>
      <c r="T357" s="466"/>
      <c r="U357" s="466"/>
      <c r="V357" s="466"/>
    </row>
    <row r="358" spans="1:22" x14ac:dyDescent="0.2">
      <c r="A358" s="466"/>
      <c r="B358" s="530">
        <f t="shared" si="31"/>
        <v>341</v>
      </c>
      <c r="C358" s="546">
        <f t="shared" si="28"/>
        <v>74118.749855499453</v>
      </c>
      <c r="D358" s="546">
        <f t="shared" si="32"/>
        <v>5630.7777674910094</v>
      </c>
      <c r="E358" s="546">
        <f>IF(B358="","-",SUM($D$18:D358))</f>
        <v>12368217.584442303</v>
      </c>
      <c r="F358" s="546">
        <f t="shared" si="29"/>
        <v>68487.97208800845</v>
      </c>
      <c r="G358" s="546">
        <f>IF(B358="","-",SUM($F$18:F358))</f>
        <v>12164372.693985028</v>
      </c>
      <c r="H358" s="546">
        <f t="shared" si="30"/>
        <v>1354024.3060149832</v>
      </c>
      <c r="I358" s="465"/>
      <c r="J358" s="466"/>
      <c r="K358" s="466"/>
      <c r="M358" s="466"/>
      <c r="N358" s="466"/>
      <c r="O358" s="466"/>
      <c r="P358" s="466"/>
      <c r="Q358" s="466"/>
      <c r="R358" s="466"/>
      <c r="S358" s="466"/>
      <c r="T358" s="466"/>
      <c r="U358" s="466"/>
      <c r="V358" s="466"/>
    </row>
    <row r="359" spans="1:22" x14ac:dyDescent="0.2">
      <c r="A359" s="466"/>
      <c r="B359" s="530">
        <f t="shared" si="31"/>
        <v>342</v>
      </c>
      <c r="C359" s="546">
        <f t="shared" si="28"/>
        <v>74118.749855499453</v>
      </c>
      <c r="D359" s="546">
        <f t="shared" si="32"/>
        <v>5359.6795446426422</v>
      </c>
      <c r="E359" s="546">
        <f>IF(B359="","-",SUM($D$18:D359))</f>
        <v>12373577.263986945</v>
      </c>
      <c r="F359" s="546">
        <f t="shared" si="29"/>
        <v>68759.070310856812</v>
      </c>
      <c r="G359" s="546">
        <f>IF(B359="","-",SUM($F$18:F359))</f>
        <v>12233131.764295885</v>
      </c>
      <c r="H359" s="546">
        <f t="shared" si="30"/>
        <v>1285265.2357041263</v>
      </c>
      <c r="I359" s="465"/>
      <c r="J359" s="466"/>
      <c r="K359" s="466"/>
      <c r="M359" s="466"/>
      <c r="N359" s="466"/>
      <c r="O359" s="466"/>
      <c r="P359" s="466"/>
      <c r="Q359" s="466"/>
      <c r="R359" s="466"/>
      <c r="S359" s="466"/>
      <c r="T359" s="466"/>
      <c r="U359" s="466"/>
      <c r="V359" s="466"/>
    </row>
    <row r="360" spans="1:22" x14ac:dyDescent="0.2">
      <c r="A360" s="466"/>
      <c r="B360" s="530">
        <f t="shared" si="31"/>
        <v>343</v>
      </c>
      <c r="C360" s="546">
        <f t="shared" si="28"/>
        <v>74118.749855499453</v>
      </c>
      <c r="D360" s="546">
        <f t="shared" si="32"/>
        <v>5087.5082246621669</v>
      </c>
      <c r="E360" s="546">
        <f>IF(B360="","-",SUM($D$18:D360))</f>
        <v>12378664.772211608</v>
      </c>
      <c r="F360" s="546">
        <f t="shared" si="29"/>
        <v>69031.241630837292</v>
      </c>
      <c r="G360" s="546">
        <f>IF(B360="","-",SUM($F$18:F360))</f>
        <v>12302163.005926723</v>
      </c>
      <c r="H360" s="546">
        <f t="shared" si="30"/>
        <v>1216233.994073289</v>
      </c>
      <c r="I360" s="465"/>
      <c r="J360" s="466"/>
      <c r="K360" s="466"/>
      <c r="M360" s="466"/>
      <c r="N360" s="466"/>
      <c r="O360" s="466"/>
      <c r="P360" s="466"/>
      <c r="Q360" s="466"/>
      <c r="R360" s="466"/>
      <c r="S360" s="466"/>
      <c r="T360" s="466"/>
      <c r="U360" s="466"/>
      <c r="V360" s="466"/>
    </row>
    <row r="361" spans="1:22" x14ac:dyDescent="0.2">
      <c r="A361" s="466"/>
      <c r="B361" s="530">
        <f t="shared" si="31"/>
        <v>344</v>
      </c>
      <c r="C361" s="546">
        <f t="shared" si="28"/>
        <v>74118.749855499453</v>
      </c>
      <c r="D361" s="546">
        <f t="shared" si="32"/>
        <v>4814.259559873436</v>
      </c>
      <c r="E361" s="546">
        <f>IF(B361="","-",SUM($D$18:D361))</f>
        <v>12383479.031771481</v>
      </c>
      <c r="F361" s="546">
        <f t="shared" si="29"/>
        <v>69304.490295626019</v>
      </c>
      <c r="G361" s="546">
        <f>IF(B361="","-",SUM($F$18:F361))</f>
        <v>12371467.496222349</v>
      </c>
      <c r="H361" s="546">
        <f t="shared" si="30"/>
        <v>1146929.503777663</v>
      </c>
      <c r="I361" s="465"/>
      <c r="J361" s="466"/>
      <c r="K361" s="466"/>
      <c r="M361" s="466"/>
      <c r="N361" s="466"/>
      <c r="O361" s="466"/>
      <c r="P361" s="466"/>
      <c r="Q361" s="466"/>
      <c r="R361" s="466"/>
      <c r="S361" s="466"/>
      <c r="T361" s="466"/>
      <c r="U361" s="466"/>
      <c r="V361" s="466"/>
    </row>
    <row r="362" spans="1:22" x14ac:dyDescent="0.2">
      <c r="A362" s="466"/>
      <c r="B362" s="530">
        <f t="shared" si="31"/>
        <v>345</v>
      </c>
      <c r="C362" s="546">
        <f t="shared" si="28"/>
        <v>74118.749855499453</v>
      </c>
      <c r="D362" s="546">
        <f t="shared" si="32"/>
        <v>4539.929285786583</v>
      </c>
      <c r="E362" s="546">
        <f>IF(B362="","-",SUM($D$18:D362))</f>
        <v>12388018.961057268</v>
      </c>
      <c r="F362" s="546">
        <f t="shared" si="29"/>
        <v>69578.820569712872</v>
      </c>
      <c r="G362" s="546">
        <f>IF(B362="","-",SUM($F$18:F362))</f>
        <v>12441046.316792062</v>
      </c>
      <c r="H362" s="546">
        <f t="shared" si="30"/>
        <v>1077350.6832079501</v>
      </c>
      <c r="I362" s="465"/>
      <c r="J362" s="466"/>
      <c r="K362" s="466"/>
      <c r="M362" s="466"/>
      <c r="N362" s="466"/>
      <c r="O362" s="466"/>
      <c r="P362" s="466"/>
      <c r="Q362" s="466"/>
      <c r="R362" s="466"/>
      <c r="S362" s="466"/>
      <c r="T362" s="466"/>
      <c r="U362" s="466"/>
      <c r="V362" s="466"/>
    </row>
    <row r="363" spans="1:22" x14ac:dyDescent="0.2">
      <c r="A363" s="466"/>
      <c r="B363" s="530">
        <f t="shared" si="31"/>
        <v>346</v>
      </c>
      <c r="C363" s="546">
        <f t="shared" si="28"/>
        <v>74118.749855499453</v>
      </c>
      <c r="D363" s="546">
        <f t="shared" si="32"/>
        <v>4264.5131210314694</v>
      </c>
      <c r="E363" s="546">
        <f>IF(B363="","-",SUM($D$18:D363))</f>
        <v>12392283.474178299</v>
      </c>
      <c r="F363" s="546">
        <f t="shared" si="29"/>
        <v>69854.236734467981</v>
      </c>
      <c r="G363" s="546">
        <f>IF(B363="","-",SUM($F$18:F363))</f>
        <v>12510900.55352653</v>
      </c>
      <c r="H363" s="546">
        <f t="shared" si="30"/>
        <v>1007496.4464734821</v>
      </c>
      <c r="I363" s="465"/>
      <c r="J363" s="466"/>
      <c r="K363" s="466"/>
      <c r="M363" s="466"/>
      <c r="N363" s="466"/>
      <c r="O363" s="466"/>
      <c r="P363" s="466"/>
      <c r="Q363" s="466"/>
      <c r="R363" s="466"/>
      <c r="S363" s="466"/>
      <c r="T363" s="466"/>
      <c r="U363" s="466"/>
      <c r="V363" s="466"/>
    </row>
    <row r="364" spans="1:22" x14ac:dyDescent="0.2">
      <c r="A364" s="466"/>
      <c r="B364" s="530">
        <f t="shared" si="31"/>
        <v>347</v>
      </c>
      <c r="C364" s="546">
        <f t="shared" si="28"/>
        <v>74118.749855499453</v>
      </c>
      <c r="D364" s="546">
        <f t="shared" si="32"/>
        <v>3988.0067672908667</v>
      </c>
      <c r="E364" s="546">
        <f>IF(B364="","-",SUM($D$18:D364))</f>
        <v>12396271.480945591</v>
      </c>
      <c r="F364" s="546">
        <f t="shared" si="29"/>
        <v>70130.74308820859</v>
      </c>
      <c r="G364" s="546">
        <f>IF(B364="","-",SUM($F$18:F364))</f>
        <v>12581031.296614738</v>
      </c>
      <c r="H364" s="546">
        <f t="shared" si="30"/>
        <v>937365.70338527346</v>
      </c>
      <c r="I364" s="465"/>
      <c r="J364" s="466"/>
      <c r="K364" s="466"/>
      <c r="M364" s="466"/>
      <c r="N364" s="466"/>
      <c r="O364" s="466"/>
      <c r="P364" s="466"/>
      <c r="Q364" s="466"/>
      <c r="R364" s="466"/>
      <c r="S364" s="466"/>
      <c r="T364" s="466"/>
      <c r="U364" s="466"/>
      <c r="V364" s="466"/>
    </row>
    <row r="365" spans="1:22" x14ac:dyDescent="0.2">
      <c r="A365" s="466"/>
      <c r="B365" s="530">
        <f t="shared" si="31"/>
        <v>348</v>
      </c>
      <c r="C365" s="546">
        <f t="shared" si="28"/>
        <v>74118.749855499453</v>
      </c>
      <c r="D365" s="546">
        <f t="shared" si="32"/>
        <v>3710.4059092333746</v>
      </c>
      <c r="E365" s="546">
        <f>IF(B365="","-",SUM($D$18:D365))</f>
        <v>12399981.886854824</v>
      </c>
      <c r="F365" s="546">
        <f t="shared" si="29"/>
        <v>70408.343946266075</v>
      </c>
      <c r="G365" s="546">
        <f>IF(B365="","-",SUM($F$18:F365))</f>
        <v>12651439.640561005</v>
      </c>
      <c r="H365" s="546">
        <f t="shared" si="30"/>
        <v>866957.35943900736</v>
      </c>
      <c r="I365" s="465"/>
      <c r="J365" s="466"/>
      <c r="K365" s="466"/>
      <c r="M365" s="466"/>
      <c r="N365" s="466"/>
      <c r="O365" s="466"/>
      <c r="P365" s="466"/>
      <c r="Q365" s="466"/>
      <c r="R365" s="466"/>
      <c r="S365" s="466"/>
      <c r="T365" s="466"/>
      <c r="U365" s="466"/>
      <c r="V365" s="466"/>
    </row>
    <row r="366" spans="1:22" x14ac:dyDescent="0.2">
      <c r="A366" s="466"/>
      <c r="B366" s="530">
        <f t="shared" si="31"/>
        <v>349</v>
      </c>
      <c r="C366" s="546">
        <f t="shared" si="28"/>
        <v>74118.749855499453</v>
      </c>
      <c r="D366" s="546">
        <f t="shared" si="32"/>
        <v>3431.706214446071</v>
      </c>
      <c r="E366" s="546">
        <f>IF(B366="","-",SUM($D$18:D366))</f>
        <v>12403413.59306927</v>
      </c>
      <c r="F366" s="546">
        <f t="shared" si="29"/>
        <v>70687.043641053388</v>
      </c>
      <c r="G366" s="546">
        <f>IF(B366="","-",SUM($F$18:F366))</f>
        <v>12722126.684202058</v>
      </c>
      <c r="H366" s="546">
        <f t="shared" si="30"/>
        <v>796270.31579795398</v>
      </c>
      <c r="I366" s="465"/>
      <c r="J366" s="466"/>
      <c r="K366" s="466"/>
      <c r="M366" s="466"/>
      <c r="N366" s="466"/>
      <c r="O366" s="466"/>
      <c r="P366" s="466"/>
      <c r="Q366" s="466"/>
      <c r="R366" s="466"/>
      <c r="S366" s="466"/>
      <c r="T366" s="466"/>
      <c r="U366" s="466"/>
      <c r="V366" s="466"/>
    </row>
    <row r="367" spans="1:22" x14ac:dyDescent="0.2">
      <c r="A367" s="466"/>
      <c r="B367" s="530">
        <f t="shared" si="31"/>
        <v>350</v>
      </c>
      <c r="C367" s="546">
        <f t="shared" si="28"/>
        <v>74118.749855499453</v>
      </c>
      <c r="D367" s="546">
        <f t="shared" si="32"/>
        <v>3151.9033333669013</v>
      </c>
      <c r="E367" s="546">
        <f>IF(B367="","-",SUM($D$18:D367))</f>
        <v>12406565.496402638</v>
      </c>
      <c r="F367" s="546">
        <f t="shared" si="29"/>
        <v>70966.846522132546</v>
      </c>
      <c r="G367" s="546">
        <f>IF(B367="","-",SUM($F$18:F367))</f>
        <v>12793093.53072419</v>
      </c>
      <c r="H367" s="546">
        <f t="shared" si="30"/>
        <v>725303.46927582147</v>
      </c>
      <c r="I367" s="465"/>
      <c r="J367" s="466"/>
      <c r="K367" s="466"/>
      <c r="M367" s="466"/>
      <c r="N367" s="466"/>
      <c r="O367" s="466"/>
      <c r="P367" s="466"/>
      <c r="Q367" s="466"/>
      <c r="R367" s="466"/>
      <c r="S367" s="466"/>
      <c r="T367" s="466"/>
      <c r="U367" s="466"/>
      <c r="V367" s="466"/>
    </row>
    <row r="368" spans="1:22" x14ac:dyDescent="0.2">
      <c r="A368" s="466"/>
      <c r="B368" s="530">
        <f t="shared" si="31"/>
        <v>351</v>
      </c>
      <c r="C368" s="546">
        <f t="shared" si="28"/>
        <v>74118.749855499453</v>
      </c>
      <c r="D368" s="546">
        <f t="shared" si="32"/>
        <v>2870.9928992167934</v>
      </c>
      <c r="E368" s="546">
        <f>IF(B368="","-",SUM($D$18:D368))</f>
        <v>12409436.489301855</v>
      </c>
      <c r="F368" s="546">
        <f t="shared" si="29"/>
        <v>71247.756956282654</v>
      </c>
      <c r="G368" s="546">
        <f>IF(B368="","-",SUM($F$18:F368))</f>
        <v>12864341.287680473</v>
      </c>
      <c r="H368" s="546">
        <f t="shared" si="30"/>
        <v>654055.71231953881</v>
      </c>
      <c r="I368" s="465"/>
      <c r="J368" s="466"/>
      <c r="K368" s="466"/>
      <c r="M368" s="466"/>
      <c r="N368" s="466"/>
      <c r="O368" s="466"/>
      <c r="P368" s="466"/>
      <c r="Q368" s="466"/>
      <c r="R368" s="466"/>
      <c r="S368" s="466"/>
      <c r="T368" s="466"/>
      <c r="U368" s="466"/>
      <c r="V368" s="466"/>
    </row>
    <row r="369" spans="1:22" x14ac:dyDescent="0.2">
      <c r="A369" s="466"/>
      <c r="B369" s="530">
        <f t="shared" si="31"/>
        <v>352</v>
      </c>
      <c r="C369" s="546">
        <f t="shared" si="28"/>
        <v>74118.749855499453</v>
      </c>
      <c r="D369" s="546">
        <f t="shared" si="32"/>
        <v>2588.9705279315081</v>
      </c>
      <c r="E369" s="546">
        <f>IF(B369="","-",SUM($D$18:D369))</f>
        <v>12412025.459829787</v>
      </c>
      <c r="F369" s="546">
        <f t="shared" si="29"/>
        <v>71529.779327567943</v>
      </c>
      <c r="G369" s="546">
        <f>IF(B369="","-",SUM($F$18:F369))</f>
        <v>12935871.067008041</v>
      </c>
      <c r="H369" s="546">
        <f t="shared" si="30"/>
        <v>582525.93299197091</v>
      </c>
      <c r="I369" s="465"/>
      <c r="J369" s="466"/>
      <c r="K369" s="466"/>
      <c r="M369" s="466"/>
      <c r="N369" s="466"/>
      <c r="O369" s="466"/>
      <c r="P369" s="466"/>
      <c r="Q369" s="466"/>
      <c r="R369" s="466"/>
      <c r="S369" s="466"/>
      <c r="T369" s="466"/>
      <c r="U369" s="466"/>
      <c r="V369" s="466"/>
    </row>
    <row r="370" spans="1:22" x14ac:dyDescent="0.2">
      <c r="A370" s="466"/>
      <c r="B370" s="530">
        <f t="shared" si="31"/>
        <v>353</v>
      </c>
      <c r="C370" s="546">
        <f t="shared" si="28"/>
        <v>74118.749855499453</v>
      </c>
      <c r="D370" s="546">
        <f t="shared" si="32"/>
        <v>2305.8318180932183</v>
      </c>
      <c r="E370" s="546">
        <f>IF(B370="","-",SUM($D$18:D370))</f>
        <v>12414331.291647879</v>
      </c>
      <c r="F370" s="546">
        <f t="shared" si="29"/>
        <v>71812.918037406227</v>
      </c>
      <c r="G370" s="546">
        <f>IF(B370="","-",SUM($F$18:F370))</f>
        <v>13007683.985045448</v>
      </c>
      <c r="H370" s="546">
        <f t="shared" si="30"/>
        <v>510713.01495456469</v>
      </c>
      <c r="I370" s="465"/>
      <c r="J370" s="466"/>
      <c r="K370" s="466"/>
      <c r="M370" s="466"/>
      <c r="N370" s="466"/>
      <c r="O370" s="466"/>
      <c r="P370" s="466"/>
      <c r="Q370" s="466"/>
      <c r="R370" s="466"/>
      <c r="S370" s="466"/>
      <c r="T370" s="466"/>
      <c r="U370" s="466"/>
      <c r="V370" s="466"/>
    </row>
    <row r="371" spans="1:22" x14ac:dyDescent="0.2">
      <c r="A371" s="466"/>
      <c r="B371" s="530">
        <f t="shared" si="31"/>
        <v>354</v>
      </c>
      <c r="C371" s="546">
        <f t="shared" si="28"/>
        <v>74118.749855499453</v>
      </c>
      <c r="D371" s="546">
        <f t="shared" si="32"/>
        <v>2021.5723508618187</v>
      </c>
      <c r="E371" s="546">
        <f>IF(B371="","-",SUM($D$18:D371))</f>
        <v>12416352.863998741</v>
      </c>
      <c r="F371" s="546">
        <f t="shared" si="29"/>
        <v>72097.177504637628</v>
      </c>
      <c r="G371" s="546">
        <f>IF(B371="","-",SUM($F$18:F371))</f>
        <v>13079781.162550086</v>
      </c>
      <c r="H371" s="546">
        <f t="shared" si="30"/>
        <v>438615.83744992706</v>
      </c>
      <c r="I371" s="465"/>
      <c r="J371" s="466"/>
      <c r="K371" s="466"/>
      <c r="M371" s="466"/>
      <c r="N371" s="466"/>
      <c r="O371" s="466"/>
      <c r="P371" s="466"/>
      <c r="Q371" s="466"/>
      <c r="R371" s="466"/>
      <c r="S371" s="466"/>
      <c r="T371" s="466"/>
      <c r="U371" s="466"/>
      <c r="V371" s="466"/>
    </row>
    <row r="372" spans="1:22" x14ac:dyDescent="0.2">
      <c r="A372" s="466"/>
      <c r="B372" s="530">
        <f t="shared" si="31"/>
        <v>355</v>
      </c>
      <c r="C372" s="546">
        <f t="shared" si="28"/>
        <v>74118.749855499453</v>
      </c>
      <c r="D372" s="546">
        <f t="shared" si="32"/>
        <v>1736.1876899059614</v>
      </c>
      <c r="E372" s="546">
        <f>IF(B372="","-",SUM($D$18:D372))</f>
        <v>12418089.051688647</v>
      </c>
      <c r="F372" s="546">
        <f t="shared" si="29"/>
        <v>72382.562165593496</v>
      </c>
      <c r="G372" s="546">
        <f>IF(B372="","-",SUM($F$18:F372))</f>
        <v>13152163.72471568</v>
      </c>
      <c r="H372" s="546">
        <f t="shared" si="30"/>
        <v>366233.27528433356</v>
      </c>
      <c r="I372" s="465"/>
      <c r="J372" s="466"/>
      <c r="K372" s="466"/>
      <c r="M372" s="466"/>
      <c r="N372" s="466"/>
      <c r="O372" s="466"/>
      <c r="P372" s="466"/>
      <c r="Q372" s="466"/>
      <c r="R372" s="466"/>
      <c r="S372" s="466"/>
      <c r="T372" s="466"/>
      <c r="U372" s="466"/>
      <c r="V372" s="466"/>
    </row>
    <row r="373" spans="1:22" x14ac:dyDescent="0.2">
      <c r="A373" s="466"/>
      <c r="B373" s="530">
        <f t="shared" si="31"/>
        <v>356</v>
      </c>
      <c r="C373" s="546">
        <f t="shared" si="28"/>
        <v>74118.749855499453</v>
      </c>
      <c r="D373" s="546">
        <f t="shared" si="32"/>
        <v>1449.6733813338205</v>
      </c>
      <c r="E373" s="546">
        <f>IF(B373="","-",SUM($D$18:D373))</f>
        <v>12419538.725069981</v>
      </c>
      <c r="F373" s="546">
        <f t="shared" si="29"/>
        <v>72669.076474165631</v>
      </c>
      <c r="G373" s="546">
        <f>IF(B373="","-",SUM($F$18:F373))</f>
        <v>13224832.801189845</v>
      </c>
      <c r="H373" s="546">
        <f t="shared" si="30"/>
        <v>293564.19881016796</v>
      </c>
      <c r="I373" s="465"/>
      <c r="J373" s="466"/>
      <c r="K373" s="466"/>
      <c r="M373" s="466"/>
      <c r="N373" s="466"/>
      <c r="O373" s="466"/>
      <c r="P373" s="466"/>
      <c r="Q373" s="466"/>
      <c r="R373" s="466"/>
      <c r="S373" s="466"/>
      <c r="T373" s="466"/>
      <c r="U373" s="466"/>
      <c r="V373" s="466"/>
    </row>
    <row r="374" spans="1:22" x14ac:dyDescent="0.2">
      <c r="A374" s="466"/>
      <c r="B374" s="530">
        <f t="shared" si="31"/>
        <v>357</v>
      </c>
      <c r="C374" s="546">
        <f t="shared" si="28"/>
        <v>74118.749855499453</v>
      </c>
      <c r="D374" s="546">
        <f t="shared" si="32"/>
        <v>1162.0249536235815</v>
      </c>
      <c r="E374" s="546">
        <f>IF(B374="","-",SUM($D$18:D374))</f>
        <v>12420700.750023605</v>
      </c>
      <c r="F374" s="546">
        <f t="shared" si="29"/>
        <v>72956.724901875874</v>
      </c>
      <c r="G374" s="546">
        <f>IF(B374="","-",SUM($F$18:F374))</f>
        <v>13297789.526091721</v>
      </c>
      <c r="H374" s="546">
        <f t="shared" si="30"/>
        <v>220607.47390829207</v>
      </c>
      <c r="I374" s="465"/>
      <c r="J374" s="466"/>
      <c r="K374" s="466"/>
      <c r="M374" s="466"/>
      <c r="N374" s="466"/>
      <c r="O374" s="466"/>
      <c r="P374" s="466"/>
      <c r="Q374" s="466"/>
      <c r="R374" s="466"/>
      <c r="S374" s="466"/>
      <c r="T374" s="466"/>
      <c r="U374" s="466"/>
      <c r="V374" s="466"/>
    </row>
    <row r="375" spans="1:22" x14ac:dyDescent="0.2">
      <c r="A375" s="466"/>
      <c r="B375" s="530">
        <f t="shared" si="31"/>
        <v>358</v>
      </c>
      <c r="C375" s="546">
        <f t="shared" si="28"/>
        <v>74118.749855499453</v>
      </c>
      <c r="D375" s="546">
        <f t="shared" si="32"/>
        <v>873.23791755365619</v>
      </c>
      <c r="E375" s="546">
        <f>IF(B375="","-",SUM($D$18:D375))</f>
        <v>12421573.987941159</v>
      </c>
      <c r="F375" s="546">
        <f t="shared" si="29"/>
        <v>73245.51193794579</v>
      </c>
      <c r="G375" s="546">
        <f>IF(B375="","-",SUM($F$18:F375))</f>
        <v>13371035.038029667</v>
      </c>
      <c r="H375" s="546">
        <f t="shared" si="30"/>
        <v>147361.96197034628</v>
      </c>
      <c r="I375" s="465"/>
      <c r="J375" s="466"/>
      <c r="K375" s="466"/>
      <c r="M375" s="466"/>
      <c r="N375" s="466"/>
      <c r="O375" s="466"/>
      <c r="P375" s="466"/>
      <c r="Q375" s="466"/>
      <c r="R375" s="466"/>
      <c r="S375" s="466"/>
      <c r="T375" s="466"/>
      <c r="U375" s="466"/>
      <c r="V375" s="466"/>
    </row>
    <row r="376" spans="1:22" x14ac:dyDescent="0.2">
      <c r="A376" s="466"/>
      <c r="B376" s="530">
        <f t="shared" si="31"/>
        <v>359</v>
      </c>
      <c r="C376" s="546">
        <f t="shared" si="28"/>
        <v>74118.749855499453</v>
      </c>
      <c r="D376" s="546">
        <f t="shared" si="32"/>
        <v>583.30776613262071</v>
      </c>
      <c r="E376" s="546">
        <f>IF(B376="","-",SUM($D$18:D376))</f>
        <v>12422157.295707291</v>
      </c>
      <c r="F376" s="546">
        <f t="shared" si="29"/>
        <v>73535.442089366828</v>
      </c>
      <c r="G376" s="546">
        <f>IF(B376="","-",SUM($F$18:F376))</f>
        <v>13444570.480119035</v>
      </c>
      <c r="H376" s="546">
        <f t="shared" si="30"/>
        <v>73826.519880979453</v>
      </c>
      <c r="I376" s="465"/>
      <c r="J376" s="466"/>
      <c r="K376" s="466"/>
      <c r="M376" s="466"/>
      <c r="N376" s="466"/>
      <c r="O376" s="466"/>
      <c r="P376" s="466"/>
      <c r="Q376" s="466"/>
      <c r="R376" s="466"/>
      <c r="S376" s="466"/>
      <c r="T376" s="466"/>
      <c r="U376" s="466"/>
      <c r="V376" s="466"/>
    </row>
    <row r="377" spans="1:22" x14ac:dyDescent="0.2">
      <c r="A377" s="466"/>
      <c r="B377" s="530">
        <f t="shared" si="31"/>
        <v>360</v>
      </c>
      <c r="C377" s="546">
        <f t="shared" si="28"/>
        <v>74118.749855499453</v>
      </c>
      <c r="D377" s="546">
        <f t="shared" si="32"/>
        <v>292.22997452887705</v>
      </c>
      <c r="E377" s="546">
        <f>IF(B377="","-",SUM($D$18:D377))</f>
        <v>12422449.52568182</v>
      </c>
      <c r="F377" s="546">
        <f t="shared" si="29"/>
        <v>73826.519880970576</v>
      </c>
      <c r="G377" s="546">
        <f>IF(B377="","-",SUM($F$18:F377))</f>
        <v>13518397.000000006</v>
      </c>
      <c r="H377" s="546">
        <f t="shared" si="30"/>
        <v>8.8766682893037796E-9</v>
      </c>
      <c r="I377" s="465"/>
      <c r="J377" s="466"/>
      <c r="K377" s="466"/>
      <c r="M377" s="466"/>
      <c r="N377" s="466"/>
      <c r="O377" s="466"/>
      <c r="P377" s="466"/>
      <c r="Q377" s="466"/>
      <c r="R377" s="466"/>
      <c r="S377" s="466"/>
      <c r="T377" s="466"/>
      <c r="U377" s="466"/>
      <c r="V377" s="466"/>
    </row>
    <row r="378" spans="1:22" x14ac:dyDescent="0.2">
      <c r="A378" s="466"/>
      <c r="B378" s="530" t="str">
        <f>IF(B377&gt;=$D$5*12,"",B377+1)</f>
        <v/>
      </c>
      <c r="C378" s="546" t="str">
        <f t="shared" si="28"/>
        <v>-</v>
      </c>
      <c r="D378" s="546" t="str">
        <f t="shared" si="32"/>
        <v>-</v>
      </c>
      <c r="E378" s="546" t="str">
        <f>IF(B378="","-",SUM($D$18:D378))</f>
        <v>-</v>
      </c>
      <c r="F378" s="546" t="str">
        <f t="shared" si="29"/>
        <v>-</v>
      </c>
      <c r="G378" s="546" t="str">
        <f>IF(B378="","-",SUM($F$18:F378))</f>
        <v>-</v>
      </c>
      <c r="H378" s="546" t="str">
        <f t="shared" si="30"/>
        <v>-</v>
      </c>
      <c r="I378" s="465"/>
      <c r="J378" s="466"/>
      <c r="K378" s="466"/>
      <c r="M378" s="466"/>
      <c r="N378" s="466"/>
      <c r="O378" s="466"/>
      <c r="P378" s="466"/>
      <c r="Q378" s="466"/>
      <c r="R378" s="466"/>
      <c r="S378" s="466"/>
      <c r="T378" s="466"/>
      <c r="U378" s="466"/>
      <c r="V378" s="466"/>
    </row>
    <row r="379" spans="1:22" x14ac:dyDescent="0.2">
      <c r="A379" s="466"/>
      <c r="B379" s="553"/>
      <c r="C379" s="553"/>
      <c r="D379" s="553"/>
      <c r="E379" s="553"/>
      <c r="F379" s="553"/>
      <c r="G379" s="553"/>
      <c r="H379" s="553"/>
      <c r="I379" s="465"/>
      <c r="J379" s="466"/>
      <c r="K379" s="466"/>
      <c r="M379" s="466"/>
      <c r="N379" s="466"/>
      <c r="O379" s="466"/>
      <c r="P379" s="466"/>
      <c r="Q379" s="466"/>
      <c r="R379" s="466"/>
      <c r="S379" s="466"/>
      <c r="T379" s="466"/>
      <c r="U379" s="466"/>
      <c r="V379" s="466"/>
    </row>
    <row r="380" spans="1:22" x14ac:dyDescent="0.2">
      <c r="A380" s="466"/>
      <c r="B380" s="452"/>
      <c r="C380" s="466"/>
      <c r="D380" s="466"/>
      <c r="E380" s="466"/>
      <c r="F380" s="466"/>
      <c r="G380" s="466"/>
      <c r="H380" s="466"/>
      <c r="I380" s="465"/>
      <c r="J380" s="466"/>
      <c r="K380" s="466"/>
      <c r="M380" s="466"/>
      <c r="N380" s="466"/>
      <c r="O380" s="466"/>
      <c r="P380" s="466"/>
      <c r="Q380" s="466"/>
      <c r="R380" s="466"/>
      <c r="S380" s="466"/>
      <c r="T380" s="466"/>
      <c r="U380" s="466"/>
      <c r="V380" s="466"/>
    </row>
    <row r="381" spans="1:22" x14ac:dyDescent="0.2">
      <c r="A381" s="466"/>
      <c r="B381" s="218" t="s">
        <v>301</v>
      </c>
      <c r="C381" s="466"/>
      <c r="D381" s="466"/>
      <c r="E381" s="466"/>
      <c r="F381" s="466"/>
      <c r="G381" s="466"/>
      <c r="H381" s="466"/>
      <c r="I381" s="465"/>
      <c r="J381" s="466"/>
      <c r="K381" s="466"/>
      <c r="M381" s="466"/>
      <c r="N381" s="466"/>
      <c r="O381" s="466"/>
      <c r="P381" s="466"/>
      <c r="Q381" s="466"/>
      <c r="R381" s="466"/>
      <c r="S381" s="466"/>
      <c r="T381" s="466"/>
      <c r="U381" s="466"/>
      <c r="V381" s="466"/>
    </row>
    <row r="382" spans="1:22" x14ac:dyDescent="0.2">
      <c r="A382" s="466"/>
      <c r="B382" s="218" t="s">
        <v>140</v>
      </c>
      <c r="C382" s="466"/>
      <c r="D382" s="466"/>
      <c r="E382" s="466"/>
      <c r="F382" s="466"/>
      <c r="G382" s="466"/>
      <c r="H382" s="466"/>
      <c r="I382" s="465"/>
      <c r="J382" s="466"/>
      <c r="K382" s="466"/>
      <c r="M382" s="466"/>
      <c r="N382" s="466"/>
      <c r="O382" s="466"/>
      <c r="P382" s="466"/>
      <c r="Q382" s="466"/>
      <c r="R382" s="466"/>
      <c r="S382" s="466"/>
      <c r="T382" s="466"/>
      <c r="U382" s="466"/>
      <c r="V382" s="466"/>
    </row>
  </sheetData>
  <customSheetViews>
    <customSheetView guid="{238A3432-2201-4481-B06C-00480E9813A7}" showGridLines="0" fitToPage="1" showRuler="0" topLeftCell="A106">
      <selection activeCell="A14" sqref="A14"/>
      <pageMargins left="0.7" right="0.7" top="0.75" bottom="0.75" header="0.3" footer="0.3"/>
      <pageSetup scale="76" orientation="portrait"/>
      <headerFooter alignWithMargins="0"/>
    </customSheetView>
  </customSheetViews>
  <mergeCells count="1">
    <mergeCell ref="A1:L1"/>
  </mergeCells>
  <phoneticPr fontId="6" type="noConversion"/>
  <conditionalFormatting sqref="A13:A14 C13">
    <cfRule type="cellIs" dxfId="2" priority="1" stopIfTrue="1" operator="notEqual">
      <formula>0</formula>
    </cfRule>
  </conditionalFormatting>
  <pageMargins left="0.35" right="0.41" top="0.75" bottom="0.75" header="0.5" footer="0.5"/>
  <pageSetup orientation="portrait"/>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T382"/>
  <sheetViews>
    <sheetView showGridLines="0" workbookViewId="0">
      <selection activeCell="K21" sqref="K21"/>
    </sheetView>
  </sheetViews>
  <sheetFormatPr defaultColWidth="8.85546875" defaultRowHeight="12.75" x14ac:dyDescent="0.2"/>
  <cols>
    <col min="1" max="1" width="2.7109375" style="523" customWidth="1"/>
    <col min="2" max="3" width="9.42578125" style="523" customWidth="1"/>
    <col min="4" max="5" width="10.7109375" style="523" customWidth="1"/>
    <col min="6" max="7" width="8.85546875" style="523"/>
    <col min="8" max="8" width="10.85546875" style="523" customWidth="1"/>
    <col min="9" max="9" width="8.7109375" style="514" customWidth="1"/>
    <col min="10" max="12" width="8.7109375" style="523" customWidth="1"/>
    <col min="13" max="13" width="9.85546875" style="523" customWidth="1"/>
    <col min="14" max="14" width="3.28515625" style="523" customWidth="1"/>
    <col min="15" max="15" width="10.7109375" style="523" customWidth="1"/>
    <col min="16" max="16" width="3.28515625" style="523" customWidth="1"/>
    <col min="17" max="17" width="11.42578125" style="523" customWidth="1"/>
    <col min="18" max="18" width="3.28515625" style="523" customWidth="1"/>
    <col min="19" max="19" width="13.140625" style="523" customWidth="1"/>
    <col min="20" max="20" width="2.7109375" style="523" customWidth="1"/>
    <col min="21" max="21" width="11.42578125" style="523" customWidth="1"/>
    <col min="22" max="22" width="2.7109375" style="523" customWidth="1"/>
    <col min="23" max="23" width="11.140625" style="523" customWidth="1"/>
    <col min="24" max="24" width="3.85546875" style="523" customWidth="1"/>
    <col min="25" max="25" width="10.28515625" style="523" customWidth="1"/>
    <col min="26" max="26" width="2.42578125" style="523" customWidth="1"/>
    <col min="27" max="27" width="10.42578125" style="523" customWidth="1"/>
    <col min="28" max="28" width="2.42578125" style="523" customWidth="1"/>
    <col min="29" max="29" width="11.7109375" style="523" bestFit="1" customWidth="1"/>
    <col min="30" max="16384" width="8.85546875" style="523"/>
  </cols>
  <sheetData>
    <row r="1" spans="1:20" ht="15.75" x14ac:dyDescent="0.2">
      <c r="A1" s="1002" t="s">
        <v>5</v>
      </c>
      <c r="B1" s="1003"/>
      <c r="C1" s="1003"/>
      <c r="D1" s="1003"/>
      <c r="E1" s="1003"/>
      <c r="F1" s="1003"/>
      <c r="G1" s="1003"/>
      <c r="H1" s="1003"/>
      <c r="I1" s="1003"/>
      <c r="J1" s="1003"/>
      <c r="K1" s="1003"/>
      <c r="L1" s="1003"/>
    </row>
    <row r="3" spans="1:20" x14ac:dyDescent="0.2">
      <c r="C3" s="524" t="s">
        <v>127</v>
      </c>
      <c r="D3" s="617">
        <f>Summary!D15</f>
        <v>0</v>
      </c>
    </row>
    <row r="4" spans="1:20" x14ac:dyDescent="0.2">
      <c r="C4" s="524" t="s">
        <v>13</v>
      </c>
      <c r="D4" s="618">
        <f>Summary!D16</f>
        <v>0</v>
      </c>
    </row>
    <row r="5" spans="1:20" x14ac:dyDescent="0.2">
      <c r="C5" s="524" t="s">
        <v>4</v>
      </c>
      <c r="D5" s="619">
        <f>Summary!D17</f>
        <v>0</v>
      </c>
    </row>
    <row r="6" spans="1:20" x14ac:dyDescent="0.2">
      <c r="C6" s="561" t="s">
        <v>225</v>
      </c>
      <c r="D6" s="565">
        <v>0</v>
      </c>
    </row>
    <row r="7" spans="1:20" x14ac:dyDescent="0.2">
      <c r="C7" s="524" t="s">
        <v>3</v>
      </c>
      <c r="D7" s="620">
        <f>IF(D3=0,0,PMT(D4/12,(D5*12)-D6,-D3))</f>
        <v>0</v>
      </c>
    </row>
    <row r="8" spans="1:20" x14ac:dyDescent="0.2">
      <c r="C8" s="524" t="s">
        <v>17</v>
      </c>
      <c r="D8" s="621">
        <f>SUM(D17:D378)</f>
        <v>0</v>
      </c>
    </row>
    <row r="9" spans="1:20" x14ac:dyDescent="0.2">
      <c r="B9" s="523" t="s">
        <v>14</v>
      </c>
      <c r="C9" s="524"/>
      <c r="D9" s="621">
        <f>SUM(C18:C29)</f>
        <v>0</v>
      </c>
    </row>
    <row r="10" spans="1:20" x14ac:dyDescent="0.2">
      <c r="B10" s="524"/>
      <c r="C10" s="525"/>
    </row>
    <row r="11" spans="1:20" s="526" customFormat="1" ht="11.25" x14ac:dyDescent="0.2">
      <c r="B11" s="527" t="s">
        <v>0</v>
      </c>
      <c r="C11" s="528">
        <v>1</v>
      </c>
      <c r="D11" s="528">
        <f t="shared" ref="D11:L11" si="0">C11+1</f>
        <v>2</v>
      </c>
      <c r="E11" s="528">
        <f t="shared" si="0"/>
        <v>3</v>
      </c>
      <c r="F11" s="528">
        <f t="shared" si="0"/>
        <v>4</v>
      </c>
      <c r="G11" s="528">
        <f t="shared" si="0"/>
        <v>5</v>
      </c>
      <c r="H11" s="528">
        <f t="shared" si="0"/>
        <v>6</v>
      </c>
      <c r="I11" s="529">
        <f t="shared" si="0"/>
        <v>7</v>
      </c>
      <c r="J11" s="528">
        <f t="shared" si="0"/>
        <v>8</v>
      </c>
      <c r="K11" s="528">
        <f t="shared" si="0"/>
        <v>9</v>
      </c>
      <c r="L11" s="528">
        <f t="shared" si="0"/>
        <v>10</v>
      </c>
      <c r="N11" s="530"/>
      <c r="P11" s="530"/>
      <c r="R11" s="530"/>
      <c r="S11" s="531"/>
    </row>
    <row r="12" spans="1:20" s="526" customFormat="1" ht="11.25" x14ac:dyDescent="0.2">
      <c r="B12" s="532" t="s">
        <v>8</v>
      </c>
      <c r="C12" s="627">
        <f ca="1">IF(C11&lt;=Summary!$D$17,OFFSET($G$17,12*C11,0),0)</f>
        <v>0</v>
      </c>
      <c r="D12" s="627">
        <f ca="1">IF(D11&lt;=Summary!$D$17,OFFSET($G$17,12*D11,0)-C12,0)</f>
        <v>0</v>
      </c>
      <c r="E12" s="627">
        <f ca="1">IF(E11&lt;=Summary!$D$17,OFFSET($G$17,12*E11,0)-SUM(C12:D12),0)</f>
        <v>0</v>
      </c>
      <c r="F12" s="627">
        <f ca="1">IF(F11&lt;=Summary!$D$17,OFFSET($G$17,12*F11,0)-SUM(C12:E12),0)</f>
        <v>0</v>
      </c>
      <c r="G12" s="627">
        <f ca="1">IF(G11&lt;=Summary!$D$17,OFFSET($G$17,12*G11,0)-SUM(C12:F12),0)</f>
        <v>0</v>
      </c>
      <c r="H12" s="627">
        <f ca="1">IF(H11&lt;=Summary!$D$17,OFFSET($G$17,12*H11,0)-SUM(C12:G12),0)</f>
        <v>0</v>
      </c>
      <c r="I12" s="628">
        <f ca="1">IF(I11&lt;=Summary!$D$17,OFFSET($G$17,12*I11,0)-SUM(C12:H12),0)</f>
        <v>0</v>
      </c>
      <c r="J12" s="627">
        <f ca="1">IF(J11&lt;=Summary!$D$17,OFFSET($G$17,12*J11,0)-SUM(C12:I12),0)</f>
        <v>0</v>
      </c>
      <c r="K12" s="627">
        <f ca="1">IF(K11&lt;=Summary!$D$17,OFFSET($G$17,12*K11,0)-SUM(C12:J12),0)</f>
        <v>0</v>
      </c>
      <c r="L12" s="627">
        <f ca="1">IF(L11&lt;=Summary!$D$17,OFFSET($G$17,12*L11,0)-SUM(C12:K12),0)</f>
        <v>0</v>
      </c>
      <c r="N12" s="534"/>
      <c r="P12" s="534"/>
      <c r="R12" s="534"/>
      <c r="S12" s="533"/>
    </row>
    <row r="13" spans="1:20" s="526" customFormat="1" ht="11.25" x14ac:dyDescent="0.2">
      <c r="B13" s="532" t="s">
        <v>19</v>
      </c>
      <c r="C13" s="627">
        <f ca="1">IF(C11&lt;=Summary!$D$17,OFFSET($E$17,12*C11,0),0)</f>
        <v>0</v>
      </c>
      <c r="D13" s="627">
        <f ca="1">IF(D11&lt;=Summary!$D$17,OFFSET($E$17,12*D11,0)-C13,0)</f>
        <v>0</v>
      </c>
      <c r="E13" s="627">
        <f ca="1">IF(E11&lt;=Summary!$D$17,OFFSET($E$17,12*E11,0)-SUM(C13:D13),0)</f>
        <v>0</v>
      </c>
      <c r="F13" s="627">
        <f ca="1">IF(F11&lt;=Summary!$D$17,OFFSET($E$17,12*F11,0)-SUM(C13:E13),0)</f>
        <v>0</v>
      </c>
      <c r="G13" s="627">
        <f ca="1">IF(G11&lt;=Summary!$D$17,OFFSET($E$17,12*G11,0)-SUM(C13:F13),0)</f>
        <v>0</v>
      </c>
      <c r="H13" s="627">
        <f ca="1">IF(H11&lt;=Summary!$D$17,OFFSET($E$17,12*H11,0)-SUM(C13:G13),0)</f>
        <v>0</v>
      </c>
      <c r="I13" s="628">
        <f ca="1">IF(I11&lt;=Summary!$D$17,OFFSET($E$17,12*I11,0)-SUM(C13:H13),0)</f>
        <v>0</v>
      </c>
      <c r="J13" s="627">
        <f ca="1">IF(J11&lt;=Summary!$D$17,OFFSET($E$17,12*J11,0)-SUM(C13:I13),0)</f>
        <v>0</v>
      </c>
      <c r="K13" s="627">
        <f ca="1">IF(K11&lt;=Summary!$D$17,OFFSET($E$17,12*K11,0)-SUM(C13:J13),0)</f>
        <v>0</v>
      </c>
      <c r="L13" s="627">
        <f ca="1">IF(L11&lt;=Summary!$D$17,OFFSET($E$17,12*L11,0)-SUM(C13:K13),0)</f>
        <v>0</v>
      </c>
      <c r="N13" s="534"/>
      <c r="P13" s="534"/>
      <c r="R13" s="534"/>
      <c r="S13" s="533"/>
    </row>
    <row r="14" spans="1:20" s="526" customFormat="1" ht="11.25" x14ac:dyDescent="0.2">
      <c r="B14" s="532" t="s">
        <v>22</v>
      </c>
      <c r="C14" s="627">
        <f ca="1">IF(C11&lt;=Summary!$D$17,OFFSET($H$17,C11*12,0),0)</f>
        <v>0</v>
      </c>
      <c r="D14" s="627">
        <f ca="1">IF(D11&lt;=Summary!$D$17,OFFSET($H$17,D11*12,0),0)</f>
        <v>0</v>
      </c>
      <c r="E14" s="627">
        <f ca="1">IF(E11&lt;=Summary!$D$17,OFFSET($H$17,E11*12,0),0)</f>
        <v>0</v>
      </c>
      <c r="F14" s="627">
        <f ca="1">IF(F11&lt;=Summary!$D$17,OFFSET($H$17,F11*12,0),0)</f>
        <v>0</v>
      </c>
      <c r="G14" s="627">
        <f ca="1">IF(G11&lt;=Summary!$D$17,OFFSET($H$17,G11*12,0),0)</f>
        <v>0</v>
      </c>
      <c r="H14" s="627">
        <f ca="1">IF(H11&lt;=Summary!$D$17,OFFSET($H$17,H11*12,0),0)</f>
        <v>0</v>
      </c>
      <c r="I14" s="628">
        <f ca="1">IF(I11&lt;=Summary!$D$17,OFFSET($H$17,I11*12,0),0)</f>
        <v>0</v>
      </c>
      <c r="J14" s="627">
        <f ca="1">IF(J11&lt;=Summary!$D$17,OFFSET($H$17,J11*12,0),0)</f>
        <v>0</v>
      </c>
      <c r="K14" s="627">
        <f ca="1">IF(K11&lt;=Summary!$D$17,OFFSET($H$17,K11*12,0),0)</f>
        <v>0</v>
      </c>
      <c r="L14" s="627">
        <f ca="1">IF(L11&lt;=Summary!$D$17,OFFSET($H$17,L11*12,0),0)</f>
        <v>0</v>
      </c>
      <c r="N14" s="535"/>
      <c r="P14" s="535"/>
      <c r="R14" s="535"/>
      <c r="S14" s="535"/>
      <c r="T14" s="536"/>
    </row>
    <row r="16" spans="1:20" s="537" customFormat="1" ht="22.5" x14ac:dyDescent="0.2">
      <c r="B16" s="538" t="s">
        <v>1</v>
      </c>
      <c r="C16" s="539" t="s">
        <v>18</v>
      </c>
      <c r="D16" s="540" t="s">
        <v>19</v>
      </c>
      <c r="E16" s="539" t="s">
        <v>20</v>
      </c>
      <c r="F16" s="539" t="s">
        <v>8</v>
      </c>
      <c r="G16" s="539" t="s">
        <v>21</v>
      </c>
      <c r="H16" s="539" t="s">
        <v>22</v>
      </c>
    </row>
    <row r="17" spans="2:9" x14ac:dyDescent="0.2">
      <c r="B17" s="541"/>
      <c r="C17" s="542"/>
      <c r="D17" s="543"/>
      <c r="E17" s="543"/>
      <c r="F17" s="543"/>
      <c r="G17" s="543"/>
      <c r="H17" s="544">
        <f>D3</f>
        <v>0</v>
      </c>
      <c r="I17" s="545"/>
    </row>
    <row r="18" spans="2:9" x14ac:dyDescent="0.2">
      <c r="B18" s="562" t="str">
        <f t="shared" ref="B18:B29" si="1">IF(B17&gt;=$D$5*12+$D$6,"",B17+1)</f>
        <v/>
      </c>
      <c r="C18" s="563" t="str">
        <f t="shared" ref="C18:C81" si="2">IF(B18="","-",IF(B18&lt;=$D$6,D18,  $D$7))</f>
        <v>-</v>
      </c>
      <c r="D18" s="546" t="str">
        <f t="shared" ref="D18:D81" si="3">IF(B18="","-",$D$4/12*H17)</f>
        <v>-</v>
      </c>
      <c r="E18" s="546" t="str">
        <f>IF(B18="","-",SUM($D$18:D18))</f>
        <v>-</v>
      </c>
      <c r="F18" s="546" t="str">
        <f t="shared" ref="F18:F81" si="4">IF(B18="","-",C18-D18)</f>
        <v>-</v>
      </c>
      <c r="G18" s="546" t="str">
        <f>IF(B18="","-",SUM($F$18:F18))</f>
        <v>-</v>
      </c>
      <c r="H18" s="546" t="str">
        <f t="shared" ref="H18:H81" si="5">IF(B18="","-",H17-F18)</f>
        <v>-</v>
      </c>
    </row>
    <row r="19" spans="2:9" x14ac:dyDescent="0.2">
      <c r="B19" s="530" t="str">
        <f t="shared" si="1"/>
        <v/>
      </c>
      <c r="C19" s="546" t="str">
        <f t="shared" si="2"/>
        <v>-</v>
      </c>
      <c r="D19" s="546" t="str">
        <f t="shared" si="3"/>
        <v>-</v>
      </c>
      <c r="E19" s="546" t="str">
        <f>IF(B19="","-",SUM($D$18:D19))</f>
        <v>-</v>
      </c>
      <c r="F19" s="546" t="str">
        <f t="shared" si="4"/>
        <v>-</v>
      </c>
      <c r="G19" s="546" t="str">
        <f>IF(B19="","-",SUM($F$18:F19))</f>
        <v>-</v>
      </c>
      <c r="H19" s="546" t="str">
        <f t="shared" si="5"/>
        <v>-</v>
      </c>
    </row>
    <row r="20" spans="2:9" x14ac:dyDescent="0.2">
      <c r="B20" s="530" t="str">
        <f t="shared" si="1"/>
        <v/>
      </c>
      <c r="C20" s="546" t="str">
        <f t="shared" si="2"/>
        <v>-</v>
      </c>
      <c r="D20" s="546" t="str">
        <f t="shared" si="3"/>
        <v>-</v>
      </c>
      <c r="E20" s="546" t="str">
        <f>IF(B20="","-",SUM($D$18:D20))</f>
        <v>-</v>
      </c>
      <c r="F20" s="546" t="str">
        <f t="shared" si="4"/>
        <v>-</v>
      </c>
      <c r="G20" s="546" t="str">
        <f>IF(B20="","-",SUM($F$18:F20))</f>
        <v>-</v>
      </c>
      <c r="H20" s="546" t="str">
        <f t="shared" si="5"/>
        <v>-</v>
      </c>
    </row>
    <row r="21" spans="2:9" x14ac:dyDescent="0.2">
      <c r="B21" s="530" t="str">
        <f t="shared" si="1"/>
        <v/>
      </c>
      <c r="C21" s="546" t="str">
        <f t="shared" si="2"/>
        <v>-</v>
      </c>
      <c r="D21" s="546" t="str">
        <f t="shared" si="3"/>
        <v>-</v>
      </c>
      <c r="E21" s="546" t="str">
        <f>IF(B21="","-",SUM($D$18:D21))</f>
        <v>-</v>
      </c>
      <c r="F21" s="546" t="str">
        <f t="shared" si="4"/>
        <v>-</v>
      </c>
      <c r="G21" s="546" t="str">
        <f>IF(B21="","-",SUM($F$18:F21))</f>
        <v>-</v>
      </c>
      <c r="H21" s="546" t="str">
        <f t="shared" si="5"/>
        <v>-</v>
      </c>
    </row>
    <row r="22" spans="2:9" x14ac:dyDescent="0.2">
      <c r="B22" s="530" t="str">
        <f t="shared" si="1"/>
        <v/>
      </c>
      <c r="C22" s="546" t="str">
        <f t="shared" si="2"/>
        <v>-</v>
      </c>
      <c r="D22" s="546" t="str">
        <f t="shared" si="3"/>
        <v>-</v>
      </c>
      <c r="E22" s="546" t="str">
        <f>IF(B22="","-",SUM($D$18:D22))</f>
        <v>-</v>
      </c>
      <c r="F22" s="546" t="str">
        <f t="shared" si="4"/>
        <v>-</v>
      </c>
      <c r="G22" s="546" t="str">
        <f>IF(B22="","-",SUM($F$18:F22))</f>
        <v>-</v>
      </c>
      <c r="H22" s="546" t="str">
        <f t="shared" si="5"/>
        <v>-</v>
      </c>
    </row>
    <row r="23" spans="2:9" x14ac:dyDescent="0.2">
      <c r="B23" s="530" t="str">
        <f t="shared" si="1"/>
        <v/>
      </c>
      <c r="C23" s="546" t="str">
        <f t="shared" si="2"/>
        <v>-</v>
      </c>
      <c r="D23" s="546" t="str">
        <f t="shared" si="3"/>
        <v>-</v>
      </c>
      <c r="E23" s="546" t="str">
        <f>IF(B23="","-",SUM($D$18:D23))</f>
        <v>-</v>
      </c>
      <c r="F23" s="546" t="str">
        <f t="shared" si="4"/>
        <v>-</v>
      </c>
      <c r="G23" s="546" t="str">
        <f>IF(B23="","-",SUM($F$18:F23))</f>
        <v>-</v>
      </c>
      <c r="H23" s="546" t="str">
        <f t="shared" si="5"/>
        <v>-</v>
      </c>
    </row>
    <row r="24" spans="2:9" x14ac:dyDescent="0.2">
      <c r="B24" s="530" t="str">
        <f t="shared" si="1"/>
        <v/>
      </c>
      <c r="C24" s="546" t="str">
        <f t="shared" si="2"/>
        <v>-</v>
      </c>
      <c r="D24" s="546" t="str">
        <f t="shared" si="3"/>
        <v>-</v>
      </c>
      <c r="E24" s="546" t="str">
        <f>IF(B24="","-",SUM($D$18:D24))</f>
        <v>-</v>
      </c>
      <c r="F24" s="546" t="str">
        <f t="shared" si="4"/>
        <v>-</v>
      </c>
      <c r="G24" s="546" t="str">
        <f>IF(B24="","-",SUM($F$18:F24))</f>
        <v>-</v>
      </c>
      <c r="H24" s="546" t="str">
        <f t="shared" si="5"/>
        <v>-</v>
      </c>
    </row>
    <row r="25" spans="2:9" x14ac:dyDescent="0.2">
      <c r="B25" s="530" t="str">
        <f t="shared" si="1"/>
        <v/>
      </c>
      <c r="C25" s="546" t="str">
        <f t="shared" si="2"/>
        <v>-</v>
      </c>
      <c r="D25" s="546" t="str">
        <f t="shared" si="3"/>
        <v>-</v>
      </c>
      <c r="E25" s="546" t="str">
        <f>IF(B25="","-",SUM($D$18:D25))</f>
        <v>-</v>
      </c>
      <c r="F25" s="546" t="str">
        <f t="shared" si="4"/>
        <v>-</v>
      </c>
      <c r="G25" s="546" t="str">
        <f>IF(B25="","-",SUM($F$18:F25))</f>
        <v>-</v>
      </c>
      <c r="H25" s="546" t="str">
        <f t="shared" si="5"/>
        <v>-</v>
      </c>
    </row>
    <row r="26" spans="2:9" x14ac:dyDescent="0.2">
      <c r="B26" s="530" t="str">
        <f t="shared" si="1"/>
        <v/>
      </c>
      <c r="C26" s="546" t="str">
        <f t="shared" si="2"/>
        <v>-</v>
      </c>
      <c r="D26" s="546" t="str">
        <f t="shared" si="3"/>
        <v>-</v>
      </c>
      <c r="E26" s="546" t="str">
        <f>IF(B26="","-",SUM($D$18:D26))</f>
        <v>-</v>
      </c>
      <c r="F26" s="546" t="str">
        <f t="shared" si="4"/>
        <v>-</v>
      </c>
      <c r="G26" s="546" t="str">
        <f>IF(B26="","-",SUM($F$18:F26))</f>
        <v>-</v>
      </c>
      <c r="H26" s="546" t="str">
        <f t="shared" si="5"/>
        <v>-</v>
      </c>
    </row>
    <row r="27" spans="2:9" x14ac:dyDescent="0.2">
      <c r="B27" s="530" t="str">
        <f t="shared" si="1"/>
        <v/>
      </c>
      <c r="C27" s="546" t="str">
        <f t="shared" si="2"/>
        <v>-</v>
      </c>
      <c r="D27" s="546" t="str">
        <f t="shared" si="3"/>
        <v>-</v>
      </c>
      <c r="E27" s="546" t="str">
        <f>IF(B27="","-",SUM($D$18:D27))</f>
        <v>-</v>
      </c>
      <c r="F27" s="546" t="str">
        <f t="shared" si="4"/>
        <v>-</v>
      </c>
      <c r="G27" s="546" t="str">
        <f>IF(B27="","-",SUM($F$18:F27))</f>
        <v>-</v>
      </c>
      <c r="H27" s="546" t="str">
        <f t="shared" si="5"/>
        <v>-</v>
      </c>
    </row>
    <row r="28" spans="2:9" x14ac:dyDescent="0.2">
      <c r="B28" s="530" t="str">
        <f t="shared" si="1"/>
        <v/>
      </c>
      <c r="C28" s="546" t="str">
        <f t="shared" si="2"/>
        <v>-</v>
      </c>
      <c r="D28" s="546" t="str">
        <f t="shared" si="3"/>
        <v>-</v>
      </c>
      <c r="E28" s="546" t="str">
        <f>IF(B28="","-",SUM($D$18:D28))</f>
        <v>-</v>
      </c>
      <c r="F28" s="546" t="str">
        <f t="shared" si="4"/>
        <v>-</v>
      </c>
      <c r="G28" s="546" t="str">
        <f>IF(B28="","-",SUM($F$18:F28))</f>
        <v>-</v>
      </c>
      <c r="H28" s="546" t="str">
        <f t="shared" si="5"/>
        <v>-</v>
      </c>
      <c r="I28" s="547"/>
    </row>
    <row r="29" spans="2:9" x14ac:dyDescent="0.2">
      <c r="B29" s="548" t="str">
        <f t="shared" si="1"/>
        <v/>
      </c>
      <c r="C29" s="549" t="str">
        <f t="shared" si="2"/>
        <v>-</v>
      </c>
      <c r="D29" s="549" t="str">
        <f t="shared" si="3"/>
        <v>-</v>
      </c>
      <c r="E29" s="549" t="str">
        <f>IF(B29="","-",SUM($D$18:D29))</f>
        <v>-</v>
      </c>
      <c r="F29" s="549" t="str">
        <f t="shared" si="4"/>
        <v>-</v>
      </c>
      <c r="G29" s="549" t="str">
        <f>IF(B29="","-",SUM($F$18:F29))</f>
        <v>-</v>
      </c>
      <c r="H29" s="549" t="str">
        <f t="shared" si="5"/>
        <v>-</v>
      </c>
    </row>
    <row r="30" spans="2:9" x14ac:dyDescent="0.2">
      <c r="B30" s="530" t="str">
        <f t="shared" ref="B30:B93" si="6">IF(B29&gt;=$D$5*12,"",B29+1)</f>
        <v/>
      </c>
      <c r="C30" s="546" t="str">
        <f t="shared" si="2"/>
        <v>-</v>
      </c>
      <c r="D30" s="546" t="str">
        <f t="shared" si="3"/>
        <v>-</v>
      </c>
      <c r="E30" s="546" t="str">
        <f>IF(B30="","-",SUM($D$18:D30))</f>
        <v>-</v>
      </c>
      <c r="F30" s="546" t="str">
        <f t="shared" si="4"/>
        <v>-</v>
      </c>
      <c r="G30" s="546" t="str">
        <f>IF(B30="","-",SUM($F$18:F30))</f>
        <v>-</v>
      </c>
      <c r="H30" s="546" t="str">
        <f t="shared" si="5"/>
        <v>-</v>
      </c>
    </row>
    <row r="31" spans="2:9" x14ac:dyDescent="0.2">
      <c r="B31" s="530" t="str">
        <f t="shared" si="6"/>
        <v/>
      </c>
      <c r="C31" s="546" t="str">
        <f t="shared" si="2"/>
        <v>-</v>
      </c>
      <c r="D31" s="546" t="str">
        <f t="shared" si="3"/>
        <v>-</v>
      </c>
      <c r="E31" s="546" t="str">
        <f>IF(B31="","-",SUM($D$18:D31))</f>
        <v>-</v>
      </c>
      <c r="F31" s="546" t="str">
        <f t="shared" si="4"/>
        <v>-</v>
      </c>
      <c r="G31" s="546" t="str">
        <f>IF(B31="","-",SUM($F$18:F31))</f>
        <v>-</v>
      </c>
      <c r="H31" s="546" t="str">
        <f t="shared" si="5"/>
        <v>-</v>
      </c>
    </row>
    <row r="32" spans="2:9" x14ac:dyDescent="0.2">
      <c r="B32" s="530" t="str">
        <f t="shared" si="6"/>
        <v/>
      </c>
      <c r="C32" s="546" t="str">
        <f t="shared" si="2"/>
        <v>-</v>
      </c>
      <c r="D32" s="546" t="str">
        <f t="shared" si="3"/>
        <v>-</v>
      </c>
      <c r="E32" s="546" t="str">
        <f>IF(B32="","-",SUM($D$18:D32))</f>
        <v>-</v>
      </c>
      <c r="F32" s="546" t="str">
        <f t="shared" si="4"/>
        <v>-</v>
      </c>
      <c r="G32" s="546" t="str">
        <f>IF(B32="","-",SUM($F$18:F32))</f>
        <v>-</v>
      </c>
      <c r="H32" s="546" t="str">
        <f t="shared" si="5"/>
        <v>-</v>
      </c>
    </row>
    <row r="33" spans="2:9" x14ac:dyDescent="0.2">
      <c r="B33" s="530" t="str">
        <f t="shared" si="6"/>
        <v/>
      </c>
      <c r="C33" s="546" t="str">
        <f t="shared" si="2"/>
        <v>-</v>
      </c>
      <c r="D33" s="546" t="str">
        <f t="shared" si="3"/>
        <v>-</v>
      </c>
      <c r="E33" s="546" t="str">
        <f>IF(B33="","-",SUM($D$18:D33))</f>
        <v>-</v>
      </c>
      <c r="F33" s="546" t="str">
        <f t="shared" si="4"/>
        <v>-</v>
      </c>
      <c r="G33" s="546" t="str">
        <f>IF(B33="","-",SUM($F$18:F33))</f>
        <v>-</v>
      </c>
      <c r="H33" s="546" t="str">
        <f t="shared" si="5"/>
        <v>-</v>
      </c>
    </row>
    <row r="34" spans="2:9" x14ac:dyDescent="0.2">
      <c r="B34" s="530" t="str">
        <f t="shared" si="6"/>
        <v/>
      </c>
      <c r="C34" s="546" t="str">
        <f t="shared" si="2"/>
        <v>-</v>
      </c>
      <c r="D34" s="546" t="str">
        <f t="shared" si="3"/>
        <v>-</v>
      </c>
      <c r="E34" s="546" t="str">
        <f>IF(B34="","-",SUM($D$18:D34))</f>
        <v>-</v>
      </c>
      <c r="F34" s="546" t="str">
        <f t="shared" si="4"/>
        <v>-</v>
      </c>
      <c r="G34" s="546" t="str">
        <f>IF(B34="","-",SUM($F$18:F34))</f>
        <v>-</v>
      </c>
      <c r="H34" s="546" t="str">
        <f t="shared" si="5"/>
        <v>-</v>
      </c>
    </row>
    <row r="35" spans="2:9" x14ac:dyDescent="0.2">
      <c r="B35" s="530" t="str">
        <f t="shared" si="6"/>
        <v/>
      </c>
      <c r="C35" s="546" t="str">
        <f t="shared" si="2"/>
        <v>-</v>
      </c>
      <c r="D35" s="546" t="str">
        <f t="shared" si="3"/>
        <v>-</v>
      </c>
      <c r="E35" s="546" t="str">
        <f>IF(B35="","-",SUM($D$18:D35))</f>
        <v>-</v>
      </c>
      <c r="F35" s="546" t="str">
        <f t="shared" si="4"/>
        <v>-</v>
      </c>
      <c r="G35" s="546" t="str">
        <f>IF(B35="","-",SUM($F$18:F35))</f>
        <v>-</v>
      </c>
      <c r="H35" s="546" t="str">
        <f t="shared" si="5"/>
        <v>-</v>
      </c>
    </row>
    <row r="36" spans="2:9" x14ac:dyDescent="0.2">
      <c r="B36" s="530" t="str">
        <f t="shared" si="6"/>
        <v/>
      </c>
      <c r="C36" s="546" t="str">
        <f t="shared" si="2"/>
        <v>-</v>
      </c>
      <c r="D36" s="546" t="str">
        <f t="shared" si="3"/>
        <v>-</v>
      </c>
      <c r="E36" s="546" t="str">
        <f>IF(B36="","-",SUM($D$18:D36))</f>
        <v>-</v>
      </c>
      <c r="F36" s="546" t="str">
        <f t="shared" si="4"/>
        <v>-</v>
      </c>
      <c r="G36" s="546" t="str">
        <f>IF(B36="","-",SUM($F$18:F36))</f>
        <v>-</v>
      </c>
      <c r="H36" s="546" t="str">
        <f t="shared" si="5"/>
        <v>-</v>
      </c>
    </row>
    <row r="37" spans="2:9" x14ac:dyDescent="0.2">
      <c r="B37" s="530" t="str">
        <f t="shared" si="6"/>
        <v/>
      </c>
      <c r="C37" s="546" t="str">
        <f t="shared" si="2"/>
        <v>-</v>
      </c>
      <c r="D37" s="546" t="str">
        <f t="shared" si="3"/>
        <v>-</v>
      </c>
      <c r="E37" s="546" t="str">
        <f>IF(B37="","-",SUM($D$18:D37))</f>
        <v>-</v>
      </c>
      <c r="F37" s="546" t="str">
        <f t="shared" si="4"/>
        <v>-</v>
      </c>
      <c r="G37" s="546" t="str">
        <f>IF(B37="","-",SUM($F$18:F37))</f>
        <v>-</v>
      </c>
      <c r="H37" s="546" t="str">
        <f t="shared" si="5"/>
        <v>-</v>
      </c>
    </row>
    <row r="38" spans="2:9" x14ac:dyDescent="0.2">
      <c r="B38" s="530" t="str">
        <f t="shared" si="6"/>
        <v/>
      </c>
      <c r="C38" s="546" t="str">
        <f t="shared" si="2"/>
        <v>-</v>
      </c>
      <c r="D38" s="546" t="str">
        <f t="shared" si="3"/>
        <v>-</v>
      </c>
      <c r="E38" s="546" t="str">
        <f>IF(B38="","-",SUM($D$18:D38))</f>
        <v>-</v>
      </c>
      <c r="F38" s="546" t="str">
        <f t="shared" si="4"/>
        <v>-</v>
      </c>
      <c r="G38" s="546" t="str">
        <f>IF(B38="","-",SUM($F$18:F38))</f>
        <v>-</v>
      </c>
      <c r="H38" s="546" t="str">
        <f t="shared" si="5"/>
        <v>-</v>
      </c>
    </row>
    <row r="39" spans="2:9" x14ac:dyDescent="0.2">
      <c r="B39" s="530" t="str">
        <f t="shared" si="6"/>
        <v/>
      </c>
      <c r="C39" s="546" t="str">
        <f t="shared" si="2"/>
        <v>-</v>
      </c>
      <c r="D39" s="546" t="str">
        <f t="shared" si="3"/>
        <v>-</v>
      </c>
      <c r="E39" s="546" t="str">
        <f>IF(B39="","-",SUM($D$18:D39))</f>
        <v>-</v>
      </c>
      <c r="F39" s="546" t="str">
        <f t="shared" si="4"/>
        <v>-</v>
      </c>
      <c r="G39" s="546" t="str">
        <f>IF(B39="","-",SUM($F$18:F39))</f>
        <v>-</v>
      </c>
      <c r="H39" s="546" t="str">
        <f t="shared" si="5"/>
        <v>-</v>
      </c>
    </row>
    <row r="40" spans="2:9" x14ac:dyDescent="0.2">
      <c r="B40" s="530" t="str">
        <f t="shared" si="6"/>
        <v/>
      </c>
      <c r="C40" s="546" t="str">
        <f t="shared" si="2"/>
        <v>-</v>
      </c>
      <c r="D40" s="546" t="str">
        <f t="shared" si="3"/>
        <v>-</v>
      </c>
      <c r="E40" s="546" t="str">
        <f>IF(B40="","-",SUM($D$18:D40))</f>
        <v>-</v>
      </c>
      <c r="F40" s="546" t="str">
        <f t="shared" si="4"/>
        <v>-</v>
      </c>
      <c r="G40" s="546" t="str">
        <f>IF(B40="","-",SUM($F$18:F40))</f>
        <v>-</v>
      </c>
      <c r="H40" s="546" t="str">
        <f t="shared" si="5"/>
        <v>-</v>
      </c>
      <c r="I40" s="547"/>
    </row>
    <row r="41" spans="2:9" x14ac:dyDescent="0.2">
      <c r="B41" s="548" t="str">
        <f t="shared" si="6"/>
        <v/>
      </c>
      <c r="C41" s="549" t="str">
        <f t="shared" si="2"/>
        <v>-</v>
      </c>
      <c r="D41" s="549" t="str">
        <f t="shared" si="3"/>
        <v>-</v>
      </c>
      <c r="E41" s="549" t="str">
        <f>IF(B41="","-",SUM($D$18:D41))</f>
        <v>-</v>
      </c>
      <c r="F41" s="549" t="str">
        <f t="shared" si="4"/>
        <v>-</v>
      </c>
      <c r="G41" s="549" t="str">
        <f>IF(B41="","-",SUM($F$18:F41))</f>
        <v>-</v>
      </c>
      <c r="H41" s="549" t="str">
        <f t="shared" si="5"/>
        <v>-</v>
      </c>
    </row>
    <row r="42" spans="2:9" x14ac:dyDescent="0.2">
      <c r="B42" s="530" t="str">
        <f t="shared" si="6"/>
        <v/>
      </c>
      <c r="C42" s="546" t="str">
        <f t="shared" si="2"/>
        <v>-</v>
      </c>
      <c r="D42" s="546" t="str">
        <f t="shared" si="3"/>
        <v>-</v>
      </c>
      <c r="E42" s="546" t="str">
        <f>IF(B42="","-",SUM($D$18:D42))</f>
        <v>-</v>
      </c>
      <c r="F42" s="546" t="str">
        <f t="shared" si="4"/>
        <v>-</v>
      </c>
      <c r="G42" s="546" t="str">
        <f>IF(B42="","-",SUM($F$18:F42))</f>
        <v>-</v>
      </c>
      <c r="H42" s="546" t="str">
        <f t="shared" si="5"/>
        <v>-</v>
      </c>
    </row>
    <row r="43" spans="2:9" x14ac:dyDescent="0.2">
      <c r="B43" s="530" t="str">
        <f t="shared" si="6"/>
        <v/>
      </c>
      <c r="C43" s="546" t="str">
        <f t="shared" si="2"/>
        <v>-</v>
      </c>
      <c r="D43" s="546" t="str">
        <f t="shared" si="3"/>
        <v>-</v>
      </c>
      <c r="E43" s="546" t="str">
        <f>IF(B43="","-",SUM($D$18:D43))</f>
        <v>-</v>
      </c>
      <c r="F43" s="546" t="str">
        <f t="shared" si="4"/>
        <v>-</v>
      </c>
      <c r="G43" s="546" t="str">
        <f>IF(B43="","-",SUM($F$18:F43))</f>
        <v>-</v>
      </c>
      <c r="H43" s="546" t="str">
        <f t="shared" si="5"/>
        <v>-</v>
      </c>
    </row>
    <row r="44" spans="2:9" x14ac:dyDescent="0.2">
      <c r="B44" s="530" t="str">
        <f t="shared" si="6"/>
        <v/>
      </c>
      <c r="C44" s="546" t="str">
        <f t="shared" si="2"/>
        <v>-</v>
      </c>
      <c r="D44" s="546" t="str">
        <f t="shared" si="3"/>
        <v>-</v>
      </c>
      <c r="E44" s="546" t="str">
        <f>IF(B44="","-",SUM($D$18:D44))</f>
        <v>-</v>
      </c>
      <c r="F44" s="546" t="str">
        <f t="shared" si="4"/>
        <v>-</v>
      </c>
      <c r="G44" s="546" t="str">
        <f>IF(B44="","-",SUM($F$18:F44))</f>
        <v>-</v>
      </c>
      <c r="H44" s="546" t="str">
        <f t="shared" si="5"/>
        <v>-</v>
      </c>
    </row>
    <row r="45" spans="2:9" x14ac:dyDescent="0.2">
      <c r="B45" s="530" t="str">
        <f t="shared" si="6"/>
        <v/>
      </c>
      <c r="C45" s="546" t="str">
        <f t="shared" si="2"/>
        <v>-</v>
      </c>
      <c r="D45" s="546" t="str">
        <f t="shared" si="3"/>
        <v>-</v>
      </c>
      <c r="E45" s="546" t="str">
        <f>IF(B45="","-",SUM($D$18:D45))</f>
        <v>-</v>
      </c>
      <c r="F45" s="546" t="str">
        <f t="shared" si="4"/>
        <v>-</v>
      </c>
      <c r="G45" s="546" t="str">
        <f>IF(B45="","-",SUM($F$18:F45))</f>
        <v>-</v>
      </c>
      <c r="H45" s="546" t="str">
        <f t="shared" si="5"/>
        <v>-</v>
      </c>
    </row>
    <row r="46" spans="2:9" x14ac:dyDescent="0.2">
      <c r="B46" s="530" t="str">
        <f t="shared" si="6"/>
        <v/>
      </c>
      <c r="C46" s="546" t="str">
        <f t="shared" si="2"/>
        <v>-</v>
      </c>
      <c r="D46" s="546" t="str">
        <f t="shared" si="3"/>
        <v>-</v>
      </c>
      <c r="E46" s="546" t="str">
        <f>IF(B46="","-",SUM($D$18:D46))</f>
        <v>-</v>
      </c>
      <c r="F46" s="546" t="str">
        <f t="shared" si="4"/>
        <v>-</v>
      </c>
      <c r="G46" s="546" t="str">
        <f>IF(B46="","-",SUM($F$18:F46))</f>
        <v>-</v>
      </c>
      <c r="H46" s="546" t="str">
        <f t="shared" si="5"/>
        <v>-</v>
      </c>
    </row>
    <row r="47" spans="2:9" x14ac:dyDescent="0.2">
      <c r="B47" s="530" t="str">
        <f t="shared" si="6"/>
        <v/>
      </c>
      <c r="C47" s="546" t="str">
        <f t="shared" si="2"/>
        <v>-</v>
      </c>
      <c r="D47" s="546" t="str">
        <f t="shared" si="3"/>
        <v>-</v>
      </c>
      <c r="E47" s="546" t="str">
        <f>IF(B47="","-",SUM($D$18:D47))</f>
        <v>-</v>
      </c>
      <c r="F47" s="546" t="str">
        <f t="shared" si="4"/>
        <v>-</v>
      </c>
      <c r="G47" s="546" t="str">
        <f>IF(B47="","-",SUM($F$18:F47))</f>
        <v>-</v>
      </c>
      <c r="H47" s="546" t="str">
        <f t="shared" si="5"/>
        <v>-</v>
      </c>
    </row>
    <row r="48" spans="2:9" x14ac:dyDescent="0.2">
      <c r="B48" s="530" t="str">
        <f t="shared" si="6"/>
        <v/>
      </c>
      <c r="C48" s="546" t="str">
        <f t="shared" si="2"/>
        <v>-</v>
      </c>
      <c r="D48" s="546" t="str">
        <f t="shared" si="3"/>
        <v>-</v>
      </c>
      <c r="E48" s="546" t="str">
        <f>IF(B48="","-",SUM($D$18:D48))</f>
        <v>-</v>
      </c>
      <c r="F48" s="546" t="str">
        <f t="shared" si="4"/>
        <v>-</v>
      </c>
      <c r="G48" s="546" t="str">
        <f>IF(B48="","-",SUM($F$18:F48))</f>
        <v>-</v>
      </c>
      <c r="H48" s="546" t="str">
        <f t="shared" si="5"/>
        <v>-</v>
      </c>
    </row>
    <row r="49" spans="2:9" x14ac:dyDescent="0.2">
      <c r="B49" s="530" t="str">
        <f t="shared" si="6"/>
        <v/>
      </c>
      <c r="C49" s="546" t="str">
        <f t="shared" si="2"/>
        <v>-</v>
      </c>
      <c r="D49" s="546" t="str">
        <f t="shared" si="3"/>
        <v>-</v>
      </c>
      <c r="E49" s="546" t="str">
        <f>IF(B49="","-",SUM($D$18:D49))</f>
        <v>-</v>
      </c>
      <c r="F49" s="546" t="str">
        <f t="shared" si="4"/>
        <v>-</v>
      </c>
      <c r="G49" s="546" t="str">
        <f>IF(B49="","-",SUM($F$18:F49))</f>
        <v>-</v>
      </c>
      <c r="H49" s="546" t="str">
        <f t="shared" si="5"/>
        <v>-</v>
      </c>
    </row>
    <row r="50" spans="2:9" x14ac:dyDescent="0.2">
      <c r="B50" s="530" t="str">
        <f t="shared" si="6"/>
        <v/>
      </c>
      <c r="C50" s="546" t="str">
        <f t="shared" si="2"/>
        <v>-</v>
      </c>
      <c r="D50" s="546" t="str">
        <f t="shared" si="3"/>
        <v>-</v>
      </c>
      <c r="E50" s="546" t="str">
        <f>IF(B50="","-",SUM($D$18:D50))</f>
        <v>-</v>
      </c>
      <c r="F50" s="546" t="str">
        <f t="shared" si="4"/>
        <v>-</v>
      </c>
      <c r="G50" s="546" t="str">
        <f>IF(B50="","-",SUM($F$18:F50))</f>
        <v>-</v>
      </c>
      <c r="H50" s="546" t="str">
        <f t="shared" si="5"/>
        <v>-</v>
      </c>
    </row>
    <row r="51" spans="2:9" x14ac:dyDescent="0.2">
      <c r="B51" s="530" t="str">
        <f t="shared" si="6"/>
        <v/>
      </c>
      <c r="C51" s="546" t="str">
        <f t="shared" si="2"/>
        <v>-</v>
      </c>
      <c r="D51" s="546" t="str">
        <f t="shared" si="3"/>
        <v>-</v>
      </c>
      <c r="E51" s="546" t="str">
        <f>IF(B51="","-",SUM($D$18:D51))</f>
        <v>-</v>
      </c>
      <c r="F51" s="546" t="str">
        <f t="shared" si="4"/>
        <v>-</v>
      </c>
      <c r="G51" s="546" t="str">
        <f>IF(B51="","-",SUM($F$18:F51))</f>
        <v>-</v>
      </c>
      <c r="H51" s="546" t="str">
        <f t="shared" si="5"/>
        <v>-</v>
      </c>
    </row>
    <row r="52" spans="2:9" x14ac:dyDescent="0.2">
      <c r="B52" s="530" t="str">
        <f t="shared" si="6"/>
        <v/>
      </c>
      <c r="C52" s="546" t="str">
        <f t="shared" si="2"/>
        <v>-</v>
      </c>
      <c r="D52" s="546" t="str">
        <f t="shared" si="3"/>
        <v>-</v>
      </c>
      <c r="E52" s="546" t="str">
        <f>IF(B52="","-",SUM($D$18:D52))</f>
        <v>-</v>
      </c>
      <c r="F52" s="546" t="str">
        <f t="shared" si="4"/>
        <v>-</v>
      </c>
      <c r="G52" s="546" t="str">
        <f>IF(B52="","-",SUM($F$18:F52))</f>
        <v>-</v>
      </c>
      <c r="H52" s="546" t="str">
        <f t="shared" si="5"/>
        <v>-</v>
      </c>
      <c r="I52" s="547"/>
    </row>
    <row r="53" spans="2:9" x14ac:dyDescent="0.2">
      <c r="B53" s="548" t="str">
        <f t="shared" si="6"/>
        <v/>
      </c>
      <c r="C53" s="549" t="str">
        <f t="shared" si="2"/>
        <v>-</v>
      </c>
      <c r="D53" s="549" t="str">
        <f t="shared" si="3"/>
        <v>-</v>
      </c>
      <c r="E53" s="549" t="str">
        <f>IF(B53="","-",SUM($D$18:D53))</f>
        <v>-</v>
      </c>
      <c r="F53" s="549" t="str">
        <f t="shared" si="4"/>
        <v>-</v>
      </c>
      <c r="G53" s="549" t="str">
        <f>IF(B53="","-",SUM($F$18:F53))</f>
        <v>-</v>
      </c>
      <c r="H53" s="549" t="str">
        <f t="shared" si="5"/>
        <v>-</v>
      </c>
    </row>
    <row r="54" spans="2:9" x14ac:dyDescent="0.2">
      <c r="B54" s="530" t="str">
        <f t="shared" si="6"/>
        <v/>
      </c>
      <c r="C54" s="546" t="str">
        <f t="shared" si="2"/>
        <v>-</v>
      </c>
      <c r="D54" s="546" t="str">
        <f t="shared" si="3"/>
        <v>-</v>
      </c>
      <c r="E54" s="546" t="str">
        <f>IF(B54="","-",SUM($D$18:D54))</f>
        <v>-</v>
      </c>
      <c r="F54" s="546" t="str">
        <f t="shared" si="4"/>
        <v>-</v>
      </c>
      <c r="G54" s="546" t="str">
        <f>IF(B54="","-",SUM($F$18:F54))</f>
        <v>-</v>
      </c>
      <c r="H54" s="546" t="str">
        <f t="shared" si="5"/>
        <v>-</v>
      </c>
    </row>
    <row r="55" spans="2:9" x14ac:dyDescent="0.2">
      <c r="B55" s="530" t="str">
        <f t="shared" si="6"/>
        <v/>
      </c>
      <c r="C55" s="546" t="str">
        <f t="shared" si="2"/>
        <v>-</v>
      </c>
      <c r="D55" s="546" t="str">
        <f t="shared" si="3"/>
        <v>-</v>
      </c>
      <c r="E55" s="546" t="str">
        <f>IF(B55="","-",SUM($D$18:D55))</f>
        <v>-</v>
      </c>
      <c r="F55" s="546" t="str">
        <f t="shared" si="4"/>
        <v>-</v>
      </c>
      <c r="G55" s="546" t="str">
        <f>IF(B55="","-",SUM($F$18:F55))</f>
        <v>-</v>
      </c>
      <c r="H55" s="546" t="str">
        <f t="shared" si="5"/>
        <v>-</v>
      </c>
    </row>
    <row r="56" spans="2:9" x14ac:dyDescent="0.2">
      <c r="B56" s="530" t="str">
        <f t="shared" si="6"/>
        <v/>
      </c>
      <c r="C56" s="546" t="str">
        <f t="shared" si="2"/>
        <v>-</v>
      </c>
      <c r="D56" s="546" t="str">
        <f t="shared" si="3"/>
        <v>-</v>
      </c>
      <c r="E56" s="546" t="str">
        <f>IF(B56="","-",SUM($D$18:D56))</f>
        <v>-</v>
      </c>
      <c r="F56" s="546" t="str">
        <f t="shared" si="4"/>
        <v>-</v>
      </c>
      <c r="G56" s="546" t="str">
        <f>IF(B56="","-",SUM($F$18:F56))</f>
        <v>-</v>
      </c>
      <c r="H56" s="546" t="str">
        <f t="shared" si="5"/>
        <v>-</v>
      </c>
    </row>
    <row r="57" spans="2:9" x14ac:dyDescent="0.2">
      <c r="B57" s="530" t="str">
        <f t="shared" si="6"/>
        <v/>
      </c>
      <c r="C57" s="546" t="str">
        <f t="shared" si="2"/>
        <v>-</v>
      </c>
      <c r="D57" s="546" t="str">
        <f t="shared" si="3"/>
        <v>-</v>
      </c>
      <c r="E57" s="546" t="str">
        <f>IF(B57="","-",SUM($D$18:D57))</f>
        <v>-</v>
      </c>
      <c r="F57" s="546" t="str">
        <f t="shared" si="4"/>
        <v>-</v>
      </c>
      <c r="G57" s="546" t="str">
        <f>IF(B57="","-",SUM($F$18:F57))</f>
        <v>-</v>
      </c>
      <c r="H57" s="546" t="str">
        <f t="shared" si="5"/>
        <v>-</v>
      </c>
    </row>
    <row r="58" spans="2:9" x14ac:dyDescent="0.2">
      <c r="B58" s="530" t="str">
        <f t="shared" si="6"/>
        <v/>
      </c>
      <c r="C58" s="546" t="str">
        <f t="shared" si="2"/>
        <v>-</v>
      </c>
      <c r="D58" s="546" t="str">
        <f t="shared" si="3"/>
        <v>-</v>
      </c>
      <c r="E58" s="546" t="str">
        <f>IF(B58="","-",SUM($D$18:D58))</f>
        <v>-</v>
      </c>
      <c r="F58" s="546" t="str">
        <f t="shared" si="4"/>
        <v>-</v>
      </c>
      <c r="G58" s="546" t="str">
        <f>IF(B58="","-",SUM($F$18:F58))</f>
        <v>-</v>
      </c>
      <c r="H58" s="546" t="str">
        <f t="shared" si="5"/>
        <v>-</v>
      </c>
    </row>
    <row r="59" spans="2:9" x14ac:dyDescent="0.2">
      <c r="B59" s="530" t="str">
        <f t="shared" si="6"/>
        <v/>
      </c>
      <c r="C59" s="546" t="str">
        <f t="shared" si="2"/>
        <v>-</v>
      </c>
      <c r="D59" s="546" t="str">
        <f t="shared" si="3"/>
        <v>-</v>
      </c>
      <c r="E59" s="546" t="str">
        <f>IF(B59="","-",SUM($D$18:D59))</f>
        <v>-</v>
      </c>
      <c r="F59" s="546" t="str">
        <f t="shared" si="4"/>
        <v>-</v>
      </c>
      <c r="G59" s="546" t="str">
        <f>IF(B59="","-",SUM($F$18:F59))</f>
        <v>-</v>
      </c>
      <c r="H59" s="546" t="str">
        <f t="shared" si="5"/>
        <v>-</v>
      </c>
    </row>
    <row r="60" spans="2:9" x14ac:dyDescent="0.2">
      <c r="B60" s="530" t="str">
        <f t="shared" si="6"/>
        <v/>
      </c>
      <c r="C60" s="546" t="str">
        <f t="shared" si="2"/>
        <v>-</v>
      </c>
      <c r="D60" s="546" t="str">
        <f t="shared" si="3"/>
        <v>-</v>
      </c>
      <c r="E60" s="546" t="str">
        <f>IF(B60="","-",SUM($D$18:D60))</f>
        <v>-</v>
      </c>
      <c r="F60" s="546" t="str">
        <f t="shared" si="4"/>
        <v>-</v>
      </c>
      <c r="G60" s="546" t="str">
        <f>IF(B60="","-",SUM($F$18:F60))</f>
        <v>-</v>
      </c>
      <c r="H60" s="546" t="str">
        <f t="shared" si="5"/>
        <v>-</v>
      </c>
    </row>
    <row r="61" spans="2:9" x14ac:dyDescent="0.2">
      <c r="B61" s="530" t="str">
        <f t="shared" si="6"/>
        <v/>
      </c>
      <c r="C61" s="546" t="str">
        <f t="shared" si="2"/>
        <v>-</v>
      </c>
      <c r="D61" s="546" t="str">
        <f t="shared" si="3"/>
        <v>-</v>
      </c>
      <c r="E61" s="546" t="str">
        <f>IF(B61="","-",SUM($D$18:D61))</f>
        <v>-</v>
      </c>
      <c r="F61" s="546" t="str">
        <f t="shared" si="4"/>
        <v>-</v>
      </c>
      <c r="G61" s="546" t="str">
        <f>IF(B61="","-",SUM($F$18:F61))</f>
        <v>-</v>
      </c>
      <c r="H61" s="546" t="str">
        <f t="shared" si="5"/>
        <v>-</v>
      </c>
    </row>
    <row r="62" spans="2:9" x14ac:dyDescent="0.2">
      <c r="B62" s="530" t="str">
        <f t="shared" si="6"/>
        <v/>
      </c>
      <c r="C62" s="546" t="str">
        <f t="shared" si="2"/>
        <v>-</v>
      </c>
      <c r="D62" s="546" t="str">
        <f t="shared" si="3"/>
        <v>-</v>
      </c>
      <c r="E62" s="546" t="str">
        <f>IF(B62="","-",SUM($D$18:D62))</f>
        <v>-</v>
      </c>
      <c r="F62" s="546" t="str">
        <f t="shared" si="4"/>
        <v>-</v>
      </c>
      <c r="G62" s="546" t="str">
        <f>IF(B62="","-",SUM($F$18:F62))</f>
        <v>-</v>
      </c>
      <c r="H62" s="546" t="str">
        <f t="shared" si="5"/>
        <v>-</v>
      </c>
    </row>
    <row r="63" spans="2:9" x14ac:dyDescent="0.2">
      <c r="B63" s="530" t="str">
        <f t="shared" si="6"/>
        <v/>
      </c>
      <c r="C63" s="546" t="str">
        <f t="shared" si="2"/>
        <v>-</v>
      </c>
      <c r="D63" s="546" t="str">
        <f t="shared" si="3"/>
        <v>-</v>
      </c>
      <c r="E63" s="546" t="str">
        <f>IF(B63="","-",SUM($D$18:D63))</f>
        <v>-</v>
      </c>
      <c r="F63" s="546" t="str">
        <f t="shared" si="4"/>
        <v>-</v>
      </c>
      <c r="G63" s="546" t="str">
        <f>IF(B63="","-",SUM($F$18:F63))</f>
        <v>-</v>
      </c>
      <c r="H63" s="546" t="str">
        <f t="shared" si="5"/>
        <v>-</v>
      </c>
    </row>
    <row r="64" spans="2:9" x14ac:dyDescent="0.2">
      <c r="B64" s="530" t="str">
        <f t="shared" si="6"/>
        <v/>
      </c>
      <c r="C64" s="546" t="str">
        <f t="shared" si="2"/>
        <v>-</v>
      </c>
      <c r="D64" s="546" t="str">
        <f t="shared" si="3"/>
        <v>-</v>
      </c>
      <c r="E64" s="546" t="str">
        <f>IF(B64="","-",SUM($D$18:D64))</f>
        <v>-</v>
      </c>
      <c r="F64" s="546" t="str">
        <f t="shared" si="4"/>
        <v>-</v>
      </c>
      <c r="G64" s="546" t="str">
        <f>IF(B64="","-",SUM($F$18:F64))</f>
        <v>-</v>
      </c>
      <c r="H64" s="546" t="str">
        <f t="shared" si="5"/>
        <v>-</v>
      </c>
      <c r="I64" s="547"/>
    </row>
    <row r="65" spans="2:9" x14ac:dyDescent="0.2">
      <c r="B65" s="548" t="str">
        <f>IF(B64&gt;=$D$5*12,"",B64+1)</f>
        <v/>
      </c>
      <c r="C65" s="549" t="str">
        <f t="shared" si="2"/>
        <v>-</v>
      </c>
      <c r="D65" s="549" t="str">
        <f t="shared" si="3"/>
        <v>-</v>
      </c>
      <c r="E65" s="549" t="str">
        <f>IF(B65="","-",SUM($D$18:D65))</f>
        <v>-</v>
      </c>
      <c r="F65" s="549" t="str">
        <f t="shared" si="4"/>
        <v>-</v>
      </c>
      <c r="G65" s="549" t="str">
        <f>IF(B65="","-",SUM($F$18:F65))</f>
        <v>-</v>
      </c>
      <c r="H65" s="549" t="str">
        <f t="shared" si="5"/>
        <v>-</v>
      </c>
    </row>
    <row r="66" spans="2:9" x14ac:dyDescent="0.2">
      <c r="B66" s="530" t="str">
        <f t="shared" si="6"/>
        <v/>
      </c>
      <c r="C66" s="546" t="str">
        <f t="shared" si="2"/>
        <v>-</v>
      </c>
      <c r="D66" s="546" t="str">
        <f t="shared" si="3"/>
        <v>-</v>
      </c>
      <c r="E66" s="546" t="str">
        <f>IF(B66="","-",SUM($D$18:D66))</f>
        <v>-</v>
      </c>
      <c r="F66" s="546" t="str">
        <f t="shared" si="4"/>
        <v>-</v>
      </c>
      <c r="G66" s="546" t="str">
        <f>IF(B66="","-",SUM($F$18:F66))</f>
        <v>-</v>
      </c>
      <c r="H66" s="546" t="str">
        <f t="shared" si="5"/>
        <v>-</v>
      </c>
    </row>
    <row r="67" spans="2:9" x14ac:dyDescent="0.2">
      <c r="B67" s="530" t="str">
        <f t="shared" si="6"/>
        <v/>
      </c>
      <c r="C67" s="546" t="str">
        <f t="shared" si="2"/>
        <v>-</v>
      </c>
      <c r="D67" s="546" t="str">
        <f t="shared" si="3"/>
        <v>-</v>
      </c>
      <c r="E67" s="546" t="str">
        <f>IF(B67="","-",SUM($D$18:D67))</f>
        <v>-</v>
      </c>
      <c r="F67" s="546" t="str">
        <f t="shared" si="4"/>
        <v>-</v>
      </c>
      <c r="G67" s="546" t="str">
        <f>IF(B67="","-",SUM($F$18:F67))</f>
        <v>-</v>
      </c>
      <c r="H67" s="546" t="str">
        <f t="shared" si="5"/>
        <v>-</v>
      </c>
    </row>
    <row r="68" spans="2:9" x14ac:dyDescent="0.2">
      <c r="B68" s="530" t="str">
        <f t="shared" si="6"/>
        <v/>
      </c>
      <c r="C68" s="546" t="str">
        <f t="shared" si="2"/>
        <v>-</v>
      </c>
      <c r="D68" s="546" t="str">
        <f t="shared" si="3"/>
        <v>-</v>
      </c>
      <c r="E68" s="546" t="str">
        <f>IF(B68="","-",SUM($D$18:D68))</f>
        <v>-</v>
      </c>
      <c r="F68" s="546" t="str">
        <f t="shared" si="4"/>
        <v>-</v>
      </c>
      <c r="G68" s="546" t="str">
        <f>IF(B68="","-",SUM($F$18:F68))</f>
        <v>-</v>
      </c>
      <c r="H68" s="546" t="str">
        <f t="shared" si="5"/>
        <v>-</v>
      </c>
    </row>
    <row r="69" spans="2:9" x14ac:dyDescent="0.2">
      <c r="B69" s="530" t="str">
        <f t="shared" si="6"/>
        <v/>
      </c>
      <c r="C69" s="546" t="str">
        <f t="shared" si="2"/>
        <v>-</v>
      </c>
      <c r="D69" s="546" t="str">
        <f t="shared" si="3"/>
        <v>-</v>
      </c>
      <c r="E69" s="546" t="str">
        <f>IF(B69="","-",SUM($D$18:D69))</f>
        <v>-</v>
      </c>
      <c r="F69" s="546" t="str">
        <f t="shared" si="4"/>
        <v>-</v>
      </c>
      <c r="G69" s="546" t="str">
        <f>IF(B69="","-",SUM($F$18:F69))</f>
        <v>-</v>
      </c>
      <c r="H69" s="546" t="str">
        <f t="shared" si="5"/>
        <v>-</v>
      </c>
    </row>
    <row r="70" spans="2:9" x14ac:dyDescent="0.2">
      <c r="B70" s="530" t="str">
        <f t="shared" si="6"/>
        <v/>
      </c>
      <c r="C70" s="546" t="str">
        <f t="shared" si="2"/>
        <v>-</v>
      </c>
      <c r="D70" s="546" t="str">
        <f t="shared" si="3"/>
        <v>-</v>
      </c>
      <c r="E70" s="546" t="str">
        <f>IF(B70="","-",SUM($D$18:D70))</f>
        <v>-</v>
      </c>
      <c r="F70" s="546" t="str">
        <f t="shared" si="4"/>
        <v>-</v>
      </c>
      <c r="G70" s="546" t="str">
        <f>IF(B70="","-",SUM($F$18:F70))</f>
        <v>-</v>
      </c>
      <c r="H70" s="546" t="str">
        <f t="shared" si="5"/>
        <v>-</v>
      </c>
    </row>
    <row r="71" spans="2:9" x14ac:dyDescent="0.2">
      <c r="B71" s="530" t="str">
        <f t="shared" si="6"/>
        <v/>
      </c>
      <c r="C71" s="546" t="str">
        <f t="shared" si="2"/>
        <v>-</v>
      </c>
      <c r="D71" s="546" t="str">
        <f t="shared" si="3"/>
        <v>-</v>
      </c>
      <c r="E71" s="546" t="str">
        <f>IF(B71="","-",SUM($D$18:D71))</f>
        <v>-</v>
      </c>
      <c r="F71" s="546" t="str">
        <f t="shared" si="4"/>
        <v>-</v>
      </c>
      <c r="G71" s="546" t="str">
        <f>IF(B71="","-",SUM($F$18:F71))</f>
        <v>-</v>
      </c>
      <c r="H71" s="546" t="str">
        <f t="shared" si="5"/>
        <v>-</v>
      </c>
    </row>
    <row r="72" spans="2:9" x14ac:dyDescent="0.2">
      <c r="B72" s="530" t="str">
        <f t="shared" si="6"/>
        <v/>
      </c>
      <c r="C72" s="546" t="str">
        <f t="shared" si="2"/>
        <v>-</v>
      </c>
      <c r="D72" s="546" t="str">
        <f t="shared" si="3"/>
        <v>-</v>
      </c>
      <c r="E72" s="546" t="str">
        <f>IF(B72="","-",SUM($D$18:D72))</f>
        <v>-</v>
      </c>
      <c r="F72" s="546" t="str">
        <f t="shared" si="4"/>
        <v>-</v>
      </c>
      <c r="G72" s="546" t="str">
        <f>IF(B72="","-",SUM($F$18:F72))</f>
        <v>-</v>
      </c>
      <c r="H72" s="546" t="str">
        <f t="shared" si="5"/>
        <v>-</v>
      </c>
    </row>
    <row r="73" spans="2:9" x14ac:dyDescent="0.2">
      <c r="B73" s="530" t="str">
        <f t="shared" si="6"/>
        <v/>
      </c>
      <c r="C73" s="546" t="str">
        <f t="shared" si="2"/>
        <v>-</v>
      </c>
      <c r="D73" s="546" t="str">
        <f t="shared" si="3"/>
        <v>-</v>
      </c>
      <c r="E73" s="546" t="str">
        <f>IF(B73="","-",SUM($D$18:D73))</f>
        <v>-</v>
      </c>
      <c r="F73" s="546" t="str">
        <f t="shared" si="4"/>
        <v>-</v>
      </c>
      <c r="G73" s="546" t="str">
        <f>IF(B73="","-",SUM($F$18:F73))</f>
        <v>-</v>
      </c>
      <c r="H73" s="546" t="str">
        <f t="shared" si="5"/>
        <v>-</v>
      </c>
    </row>
    <row r="74" spans="2:9" x14ac:dyDescent="0.2">
      <c r="B74" s="530" t="str">
        <f t="shared" si="6"/>
        <v/>
      </c>
      <c r="C74" s="546" t="str">
        <f t="shared" si="2"/>
        <v>-</v>
      </c>
      <c r="D74" s="546" t="str">
        <f t="shared" si="3"/>
        <v>-</v>
      </c>
      <c r="E74" s="546" t="str">
        <f>IF(B74="","-",SUM($D$18:D74))</f>
        <v>-</v>
      </c>
      <c r="F74" s="546" t="str">
        <f t="shared" si="4"/>
        <v>-</v>
      </c>
      <c r="G74" s="546" t="str">
        <f>IF(B74="","-",SUM($F$18:F74))</f>
        <v>-</v>
      </c>
      <c r="H74" s="546" t="str">
        <f t="shared" si="5"/>
        <v>-</v>
      </c>
    </row>
    <row r="75" spans="2:9" x14ac:dyDescent="0.2">
      <c r="B75" s="530" t="str">
        <f t="shared" si="6"/>
        <v/>
      </c>
      <c r="C75" s="546" t="str">
        <f t="shared" si="2"/>
        <v>-</v>
      </c>
      <c r="D75" s="546" t="str">
        <f t="shared" si="3"/>
        <v>-</v>
      </c>
      <c r="E75" s="546" t="str">
        <f>IF(B75="","-",SUM($D$18:D75))</f>
        <v>-</v>
      </c>
      <c r="F75" s="546" t="str">
        <f t="shared" si="4"/>
        <v>-</v>
      </c>
      <c r="G75" s="546" t="str">
        <f>IF(B75="","-",SUM($F$18:F75))</f>
        <v>-</v>
      </c>
      <c r="H75" s="546" t="str">
        <f t="shared" si="5"/>
        <v>-</v>
      </c>
    </row>
    <row r="76" spans="2:9" x14ac:dyDescent="0.2">
      <c r="B76" s="530" t="str">
        <f t="shared" si="6"/>
        <v/>
      </c>
      <c r="C76" s="546" t="str">
        <f t="shared" si="2"/>
        <v>-</v>
      </c>
      <c r="D76" s="546" t="str">
        <f t="shared" si="3"/>
        <v>-</v>
      </c>
      <c r="E76" s="546" t="str">
        <f>IF(B76="","-",SUM($D$18:D76))</f>
        <v>-</v>
      </c>
      <c r="F76" s="546" t="str">
        <f t="shared" si="4"/>
        <v>-</v>
      </c>
      <c r="G76" s="546" t="str">
        <f>IF(B76="","-",SUM($F$18:F76))</f>
        <v>-</v>
      </c>
      <c r="H76" s="546" t="str">
        <f t="shared" si="5"/>
        <v>-</v>
      </c>
      <c r="I76" s="547"/>
    </row>
    <row r="77" spans="2:9" x14ac:dyDescent="0.2">
      <c r="B77" s="548" t="str">
        <f>IF(B76&gt;=$D$5*12,"",B76+1)</f>
        <v/>
      </c>
      <c r="C77" s="549" t="str">
        <f t="shared" si="2"/>
        <v>-</v>
      </c>
      <c r="D77" s="549" t="str">
        <f t="shared" si="3"/>
        <v>-</v>
      </c>
      <c r="E77" s="549" t="str">
        <f>IF(B77="","-",SUM($D$18:D77))</f>
        <v>-</v>
      </c>
      <c r="F77" s="549" t="str">
        <f t="shared" si="4"/>
        <v>-</v>
      </c>
      <c r="G77" s="549" t="str">
        <f>IF(B77="","-",SUM($F$18:F77))</f>
        <v>-</v>
      </c>
      <c r="H77" s="549" t="str">
        <f t="shared" si="5"/>
        <v>-</v>
      </c>
    </row>
    <row r="78" spans="2:9" x14ac:dyDescent="0.2">
      <c r="B78" s="530" t="str">
        <f t="shared" si="6"/>
        <v/>
      </c>
      <c r="C78" s="546" t="str">
        <f t="shared" si="2"/>
        <v>-</v>
      </c>
      <c r="D78" s="546" t="str">
        <f t="shared" si="3"/>
        <v>-</v>
      </c>
      <c r="E78" s="546" t="str">
        <f>IF(B78="","-",SUM($D$18:D78))</f>
        <v>-</v>
      </c>
      <c r="F78" s="546" t="str">
        <f t="shared" si="4"/>
        <v>-</v>
      </c>
      <c r="G78" s="546" t="str">
        <f>IF(B78="","-",SUM($F$18:F78))</f>
        <v>-</v>
      </c>
      <c r="H78" s="546" t="str">
        <f t="shared" si="5"/>
        <v>-</v>
      </c>
    </row>
    <row r="79" spans="2:9" x14ac:dyDescent="0.2">
      <c r="B79" s="530" t="str">
        <f t="shared" si="6"/>
        <v/>
      </c>
      <c r="C79" s="546" t="str">
        <f t="shared" si="2"/>
        <v>-</v>
      </c>
      <c r="D79" s="546" t="str">
        <f t="shared" si="3"/>
        <v>-</v>
      </c>
      <c r="E79" s="546" t="str">
        <f>IF(B79="","-",SUM($D$18:D79))</f>
        <v>-</v>
      </c>
      <c r="F79" s="546" t="str">
        <f t="shared" si="4"/>
        <v>-</v>
      </c>
      <c r="G79" s="546" t="str">
        <f>IF(B79="","-",SUM($F$18:F79))</f>
        <v>-</v>
      </c>
      <c r="H79" s="546" t="str">
        <f t="shared" si="5"/>
        <v>-</v>
      </c>
    </row>
    <row r="80" spans="2:9" x14ac:dyDescent="0.2">
      <c r="B80" s="530" t="str">
        <f t="shared" si="6"/>
        <v/>
      </c>
      <c r="C80" s="546" t="str">
        <f t="shared" si="2"/>
        <v>-</v>
      </c>
      <c r="D80" s="546" t="str">
        <f t="shared" si="3"/>
        <v>-</v>
      </c>
      <c r="E80" s="546" t="str">
        <f>IF(B80="","-",SUM($D$18:D80))</f>
        <v>-</v>
      </c>
      <c r="F80" s="546" t="str">
        <f t="shared" si="4"/>
        <v>-</v>
      </c>
      <c r="G80" s="546" t="str">
        <f>IF(B80="","-",SUM($F$18:F80))</f>
        <v>-</v>
      </c>
      <c r="H80" s="546" t="str">
        <f t="shared" si="5"/>
        <v>-</v>
      </c>
    </row>
    <row r="81" spans="2:9" x14ac:dyDescent="0.2">
      <c r="B81" s="530" t="str">
        <f t="shared" si="6"/>
        <v/>
      </c>
      <c r="C81" s="546" t="str">
        <f t="shared" si="2"/>
        <v>-</v>
      </c>
      <c r="D81" s="546" t="str">
        <f t="shared" si="3"/>
        <v>-</v>
      </c>
      <c r="E81" s="546" t="str">
        <f>IF(B81="","-",SUM($D$18:D81))</f>
        <v>-</v>
      </c>
      <c r="F81" s="546" t="str">
        <f t="shared" si="4"/>
        <v>-</v>
      </c>
      <c r="G81" s="546" t="str">
        <f>IF(B81="","-",SUM($F$18:F81))</f>
        <v>-</v>
      </c>
      <c r="H81" s="546" t="str">
        <f t="shared" si="5"/>
        <v>-</v>
      </c>
    </row>
    <row r="82" spans="2:9" x14ac:dyDescent="0.2">
      <c r="B82" s="530" t="str">
        <f t="shared" si="6"/>
        <v/>
      </c>
      <c r="C82" s="546" t="str">
        <f t="shared" ref="C82:C145" si="7">IF(B82="","-",IF(B82&lt;=$D$6,D82,  $D$7))</f>
        <v>-</v>
      </c>
      <c r="D82" s="546" t="str">
        <f t="shared" ref="D82:D145" si="8">IF(B82="","-",$D$4/12*H81)</f>
        <v>-</v>
      </c>
      <c r="E82" s="546" t="str">
        <f>IF(B82="","-",SUM($D$18:D82))</f>
        <v>-</v>
      </c>
      <c r="F82" s="546" t="str">
        <f t="shared" ref="F82:F145" si="9">IF(B82="","-",C82-D82)</f>
        <v>-</v>
      </c>
      <c r="G82" s="546" t="str">
        <f>IF(B82="","-",SUM($F$18:F82))</f>
        <v>-</v>
      </c>
      <c r="H82" s="546" t="str">
        <f t="shared" ref="H82:H145" si="10">IF(B82="","-",H81-F82)</f>
        <v>-</v>
      </c>
    </row>
    <row r="83" spans="2:9" x14ac:dyDescent="0.2">
      <c r="B83" s="530" t="str">
        <f t="shared" si="6"/>
        <v/>
      </c>
      <c r="C83" s="546" t="str">
        <f t="shared" si="7"/>
        <v>-</v>
      </c>
      <c r="D83" s="546" t="str">
        <f t="shared" si="8"/>
        <v>-</v>
      </c>
      <c r="E83" s="546" t="str">
        <f>IF(B83="","-",SUM($D$18:D83))</f>
        <v>-</v>
      </c>
      <c r="F83" s="546" t="str">
        <f t="shared" si="9"/>
        <v>-</v>
      </c>
      <c r="G83" s="546" t="str">
        <f>IF(B83="","-",SUM($F$18:F83))</f>
        <v>-</v>
      </c>
      <c r="H83" s="546" t="str">
        <f t="shared" si="10"/>
        <v>-</v>
      </c>
    </row>
    <row r="84" spans="2:9" x14ac:dyDescent="0.2">
      <c r="B84" s="530" t="str">
        <f t="shared" si="6"/>
        <v/>
      </c>
      <c r="C84" s="546" t="str">
        <f t="shared" si="7"/>
        <v>-</v>
      </c>
      <c r="D84" s="546" t="str">
        <f t="shared" si="8"/>
        <v>-</v>
      </c>
      <c r="E84" s="546" t="str">
        <f>IF(B84="","-",SUM($D$18:D84))</f>
        <v>-</v>
      </c>
      <c r="F84" s="546" t="str">
        <f t="shared" si="9"/>
        <v>-</v>
      </c>
      <c r="G84" s="546" t="str">
        <f>IF(B84="","-",SUM($F$18:F84))</f>
        <v>-</v>
      </c>
      <c r="H84" s="546" t="str">
        <f t="shared" si="10"/>
        <v>-</v>
      </c>
    </row>
    <row r="85" spans="2:9" x14ac:dyDescent="0.2">
      <c r="B85" s="530" t="str">
        <f t="shared" si="6"/>
        <v/>
      </c>
      <c r="C85" s="546" t="str">
        <f t="shared" si="7"/>
        <v>-</v>
      </c>
      <c r="D85" s="546" t="str">
        <f t="shared" si="8"/>
        <v>-</v>
      </c>
      <c r="E85" s="546" t="str">
        <f>IF(B85="","-",SUM($D$18:D85))</f>
        <v>-</v>
      </c>
      <c r="F85" s="546" t="str">
        <f t="shared" si="9"/>
        <v>-</v>
      </c>
      <c r="G85" s="546" t="str">
        <f>IF(B85="","-",SUM($F$18:F85))</f>
        <v>-</v>
      </c>
      <c r="H85" s="546" t="str">
        <f t="shared" si="10"/>
        <v>-</v>
      </c>
    </row>
    <row r="86" spans="2:9" x14ac:dyDescent="0.2">
      <c r="B86" s="530" t="str">
        <f t="shared" si="6"/>
        <v/>
      </c>
      <c r="C86" s="546" t="str">
        <f t="shared" si="7"/>
        <v>-</v>
      </c>
      <c r="D86" s="546" t="str">
        <f t="shared" si="8"/>
        <v>-</v>
      </c>
      <c r="E86" s="546" t="str">
        <f>IF(B86="","-",SUM($D$18:D86))</f>
        <v>-</v>
      </c>
      <c r="F86" s="546" t="str">
        <f t="shared" si="9"/>
        <v>-</v>
      </c>
      <c r="G86" s="546" t="str">
        <f>IF(B86="","-",SUM($F$18:F86))</f>
        <v>-</v>
      </c>
      <c r="H86" s="546" t="str">
        <f t="shared" si="10"/>
        <v>-</v>
      </c>
    </row>
    <row r="87" spans="2:9" x14ac:dyDescent="0.2">
      <c r="B87" s="530" t="str">
        <f t="shared" si="6"/>
        <v/>
      </c>
      <c r="C87" s="546" t="str">
        <f t="shared" si="7"/>
        <v>-</v>
      </c>
      <c r="D87" s="546" t="str">
        <f t="shared" si="8"/>
        <v>-</v>
      </c>
      <c r="E87" s="546" t="str">
        <f>IF(B87="","-",SUM($D$18:D87))</f>
        <v>-</v>
      </c>
      <c r="F87" s="546" t="str">
        <f t="shared" si="9"/>
        <v>-</v>
      </c>
      <c r="G87" s="546" t="str">
        <f>IF(B87="","-",SUM($F$18:F87))</f>
        <v>-</v>
      </c>
      <c r="H87" s="546" t="str">
        <f t="shared" si="10"/>
        <v>-</v>
      </c>
    </row>
    <row r="88" spans="2:9" x14ac:dyDescent="0.2">
      <c r="B88" s="530" t="str">
        <f t="shared" si="6"/>
        <v/>
      </c>
      <c r="C88" s="546" t="str">
        <f t="shared" si="7"/>
        <v>-</v>
      </c>
      <c r="D88" s="546" t="str">
        <f t="shared" si="8"/>
        <v>-</v>
      </c>
      <c r="E88" s="546" t="str">
        <f>IF(B88="","-",SUM($D$18:D88))</f>
        <v>-</v>
      </c>
      <c r="F88" s="546" t="str">
        <f t="shared" si="9"/>
        <v>-</v>
      </c>
      <c r="G88" s="546" t="str">
        <f>IF(B88="","-",SUM($F$18:F88))</f>
        <v>-</v>
      </c>
      <c r="H88" s="550" t="str">
        <f t="shared" si="10"/>
        <v>-</v>
      </c>
      <c r="I88" s="547"/>
    </row>
    <row r="89" spans="2:9" x14ac:dyDescent="0.2">
      <c r="B89" s="548" t="str">
        <f t="shared" si="6"/>
        <v/>
      </c>
      <c r="C89" s="549" t="str">
        <f t="shared" si="7"/>
        <v>-</v>
      </c>
      <c r="D89" s="549" t="str">
        <f t="shared" si="8"/>
        <v>-</v>
      </c>
      <c r="E89" s="549" t="str">
        <f>IF(B89="","-",SUM($D$18:D89))</f>
        <v>-</v>
      </c>
      <c r="F89" s="549" t="str">
        <f t="shared" si="9"/>
        <v>-</v>
      </c>
      <c r="G89" s="549" t="str">
        <f>IF(B89="","-",SUM($F$18:F89))</f>
        <v>-</v>
      </c>
      <c r="H89" s="549" t="str">
        <f t="shared" si="10"/>
        <v>-</v>
      </c>
    </row>
    <row r="90" spans="2:9" x14ac:dyDescent="0.2">
      <c r="B90" s="530" t="str">
        <f t="shared" si="6"/>
        <v/>
      </c>
      <c r="C90" s="546" t="str">
        <f t="shared" si="7"/>
        <v>-</v>
      </c>
      <c r="D90" s="546" t="str">
        <f t="shared" si="8"/>
        <v>-</v>
      </c>
      <c r="E90" s="546" t="str">
        <f>IF(B90="","-",SUM($D$18:D90))</f>
        <v>-</v>
      </c>
      <c r="F90" s="546" t="str">
        <f t="shared" si="9"/>
        <v>-</v>
      </c>
      <c r="G90" s="546" t="str">
        <f>IF(B90="","-",SUM($F$18:F90))</f>
        <v>-</v>
      </c>
      <c r="H90" s="546" t="str">
        <f t="shared" si="10"/>
        <v>-</v>
      </c>
    </row>
    <row r="91" spans="2:9" x14ac:dyDescent="0.2">
      <c r="B91" s="530" t="str">
        <f t="shared" si="6"/>
        <v/>
      </c>
      <c r="C91" s="546" t="str">
        <f t="shared" si="7"/>
        <v>-</v>
      </c>
      <c r="D91" s="546" t="str">
        <f t="shared" si="8"/>
        <v>-</v>
      </c>
      <c r="E91" s="546" t="str">
        <f>IF(B91="","-",SUM($D$18:D91))</f>
        <v>-</v>
      </c>
      <c r="F91" s="546" t="str">
        <f t="shared" si="9"/>
        <v>-</v>
      </c>
      <c r="G91" s="546" t="str">
        <f>IF(B91="","-",SUM($F$18:F91))</f>
        <v>-</v>
      </c>
      <c r="H91" s="546" t="str">
        <f t="shared" si="10"/>
        <v>-</v>
      </c>
    </row>
    <row r="92" spans="2:9" x14ac:dyDescent="0.2">
      <c r="B92" s="530" t="str">
        <f t="shared" si="6"/>
        <v/>
      </c>
      <c r="C92" s="546" t="str">
        <f t="shared" si="7"/>
        <v>-</v>
      </c>
      <c r="D92" s="546" t="str">
        <f t="shared" si="8"/>
        <v>-</v>
      </c>
      <c r="E92" s="546" t="str">
        <f>IF(B92="","-",SUM($D$18:D92))</f>
        <v>-</v>
      </c>
      <c r="F92" s="546" t="str">
        <f t="shared" si="9"/>
        <v>-</v>
      </c>
      <c r="G92" s="546" t="str">
        <f>IF(B92="","-",SUM($F$18:F92))</f>
        <v>-</v>
      </c>
      <c r="H92" s="546" t="str">
        <f t="shared" si="10"/>
        <v>-</v>
      </c>
    </row>
    <row r="93" spans="2:9" x14ac:dyDescent="0.2">
      <c r="B93" s="530" t="str">
        <f t="shared" si="6"/>
        <v/>
      </c>
      <c r="C93" s="546" t="str">
        <f t="shared" si="7"/>
        <v>-</v>
      </c>
      <c r="D93" s="546" t="str">
        <f t="shared" si="8"/>
        <v>-</v>
      </c>
      <c r="E93" s="546" t="str">
        <f>IF(B93="","-",SUM($D$18:D93))</f>
        <v>-</v>
      </c>
      <c r="F93" s="546" t="str">
        <f t="shared" si="9"/>
        <v>-</v>
      </c>
      <c r="G93" s="546" t="str">
        <f>IF(B93="","-",SUM($F$18:F93))</f>
        <v>-</v>
      </c>
      <c r="H93" s="546" t="str">
        <f t="shared" si="10"/>
        <v>-</v>
      </c>
    </row>
    <row r="94" spans="2:9" x14ac:dyDescent="0.2">
      <c r="B94" s="530" t="str">
        <f t="shared" ref="B94:B157" si="11">IF(B93&gt;=$D$5*12,"",B93+1)</f>
        <v/>
      </c>
      <c r="C94" s="546" t="str">
        <f t="shared" si="7"/>
        <v>-</v>
      </c>
      <c r="D94" s="546" t="str">
        <f t="shared" si="8"/>
        <v>-</v>
      </c>
      <c r="E94" s="546" t="str">
        <f>IF(B94="","-",SUM($D$18:D94))</f>
        <v>-</v>
      </c>
      <c r="F94" s="546" t="str">
        <f t="shared" si="9"/>
        <v>-</v>
      </c>
      <c r="G94" s="546" t="str">
        <f>IF(B94="","-",SUM($F$18:F94))</f>
        <v>-</v>
      </c>
      <c r="H94" s="546" t="str">
        <f t="shared" si="10"/>
        <v>-</v>
      </c>
    </row>
    <row r="95" spans="2:9" x14ac:dyDescent="0.2">
      <c r="B95" s="530" t="str">
        <f t="shared" si="11"/>
        <v/>
      </c>
      <c r="C95" s="546" t="str">
        <f t="shared" si="7"/>
        <v>-</v>
      </c>
      <c r="D95" s="546" t="str">
        <f t="shared" si="8"/>
        <v>-</v>
      </c>
      <c r="E95" s="546" t="str">
        <f>IF(B95="","-",SUM($D$18:D95))</f>
        <v>-</v>
      </c>
      <c r="F95" s="546" t="str">
        <f t="shared" si="9"/>
        <v>-</v>
      </c>
      <c r="G95" s="546" t="str">
        <f>IF(B95="","-",SUM($F$18:F95))</f>
        <v>-</v>
      </c>
      <c r="H95" s="546" t="str">
        <f t="shared" si="10"/>
        <v>-</v>
      </c>
    </row>
    <row r="96" spans="2:9" x14ac:dyDescent="0.2">
      <c r="B96" s="530" t="str">
        <f t="shared" si="11"/>
        <v/>
      </c>
      <c r="C96" s="546" t="str">
        <f t="shared" si="7"/>
        <v>-</v>
      </c>
      <c r="D96" s="546" t="str">
        <f t="shared" si="8"/>
        <v>-</v>
      </c>
      <c r="E96" s="546" t="str">
        <f>IF(B96="","-",SUM($D$18:D96))</f>
        <v>-</v>
      </c>
      <c r="F96" s="546" t="str">
        <f t="shared" si="9"/>
        <v>-</v>
      </c>
      <c r="G96" s="546" t="str">
        <f>IF(B96="","-",SUM($F$18:F96))</f>
        <v>-</v>
      </c>
      <c r="H96" s="546" t="str">
        <f t="shared" si="10"/>
        <v>-</v>
      </c>
    </row>
    <row r="97" spans="2:9" x14ac:dyDescent="0.2">
      <c r="B97" s="530" t="str">
        <f t="shared" si="11"/>
        <v/>
      </c>
      <c r="C97" s="546" t="str">
        <f t="shared" si="7"/>
        <v>-</v>
      </c>
      <c r="D97" s="546" t="str">
        <f t="shared" si="8"/>
        <v>-</v>
      </c>
      <c r="E97" s="546" t="str">
        <f>IF(B97="","-",SUM($D$18:D97))</f>
        <v>-</v>
      </c>
      <c r="F97" s="546" t="str">
        <f t="shared" si="9"/>
        <v>-</v>
      </c>
      <c r="G97" s="546" t="str">
        <f>IF(B97="","-",SUM($F$18:F97))</f>
        <v>-</v>
      </c>
      <c r="H97" s="546" t="str">
        <f t="shared" si="10"/>
        <v>-</v>
      </c>
    </row>
    <row r="98" spans="2:9" x14ac:dyDescent="0.2">
      <c r="B98" s="530" t="str">
        <f t="shared" si="11"/>
        <v/>
      </c>
      <c r="C98" s="546" t="str">
        <f t="shared" si="7"/>
        <v>-</v>
      </c>
      <c r="D98" s="546" t="str">
        <f t="shared" si="8"/>
        <v>-</v>
      </c>
      <c r="E98" s="546" t="str">
        <f>IF(B98="","-",SUM($D$18:D98))</f>
        <v>-</v>
      </c>
      <c r="F98" s="546" t="str">
        <f t="shared" si="9"/>
        <v>-</v>
      </c>
      <c r="G98" s="546" t="str">
        <f>IF(B98="","-",SUM($F$18:F98))</f>
        <v>-</v>
      </c>
      <c r="H98" s="546" t="str">
        <f t="shared" si="10"/>
        <v>-</v>
      </c>
    </row>
    <row r="99" spans="2:9" x14ac:dyDescent="0.2">
      <c r="B99" s="530" t="str">
        <f t="shared" si="11"/>
        <v/>
      </c>
      <c r="C99" s="546" t="str">
        <f t="shared" si="7"/>
        <v>-</v>
      </c>
      <c r="D99" s="546" t="str">
        <f t="shared" si="8"/>
        <v>-</v>
      </c>
      <c r="E99" s="546" t="str">
        <f>IF(B99="","-",SUM($D$18:D99))</f>
        <v>-</v>
      </c>
      <c r="F99" s="546" t="str">
        <f t="shared" si="9"/>
        <v>-</v>
      </c>
      <c r="G99" s="546" t="str">
        <f>IF(B99="","-",SUM($F$18:F99))</f>
        <v>-</v>
      </c>
      <c r="H99" s="546" t="str">
        <f t="shared" si="10"/>
        <v>-</v>
      </c>
    </row>
    <row r="100" spans="2:9" x14ac:dyDescent="0.2">
      <c r="B100" s="530" t="str">
        <f t="shared" si="11"/>
        <v/>
      </c>
      <c r="C100" s="546" t="str">
        <f t="shared" si="7"/>
        <v>-</v>
      </c>
      <c r="D100" s="546" t="str">
        <f t="shared" si="8"/>
        <v>-</v>
      </c>
      <c r="E100" s="546" t="str">
        <f>IF(B100="","-",SUM($D$18:D100))</f>
        <v>-</v>
      </c>
      <c r="F100" s="546" t="str">
        <f t="shared" si="9"/>
        <v>-</v>
      </c>
      <c r="G100" s="546" t="str">
        <f>IF(B100="","-",SUM($F$18:F100))</f>
        <v>-</v>
      </c>
      <c r="H100" s="546" t="str">
        <f t="shared" si="10"/>
        <v>-</v>
      </c>
      <c r="I100" s="547"/>
    </row>
    <row r="101" spans="2:9" x14ac:dyDescent="0.2">
      <c r="B101" s="548" t="str">
        <f t="shared" si="11"/>
        <v/>
      </c>
      <c r="C101" s="549" t="str">
        <f t="shared" si="7"/>
        <v>-</v>
      </c>
      <c r="D101" s="549" t="str">
        <f t="shared" si="8"/>
        <v>-</v>
      </c>
      <c r="E101" s="549" t="str">
        <f>IF(B101="","-",SUM($D$18:D101))</f>
        <v>-</v>
      </c>
      <c r="F101" s="549" t="str">
        <f t="shared" si="9"/>
        <v>-</v>
      </c>
      <c r="G101" s="549" t="str">
        <f>IF(B101="","-",SUM($F$18:F101))</f>
        <v>-</v>
      </c>
      <c r="H101" s="549" t="str">
        <f t="shared" si="10"/>
        <v>-</v>
      </c>
    </row>
    <row r="102" spans="2:9" x14ac:dyDescent="0.2">
      <c r="B102" s="530" t="str">
        <f t="shared" si="11"/>
        <v/>
      </c>
      <c r="C102" s="546" t="str">
        <f t="shared" si="7"/>
        <v>-</v>
      </c>
      <c r="D102" s="546" t="str">
        <f t="shared" si="8"/>
        <v>-</v>
      </c>
      <c r="E102" s="546" t="str">
        <f>IF(B102="","-",SUM($D$18:D102))</f>
        <v>-</v>
      </c>
      <c r="F102" s="546" t="str">
        <f t="shared" si="9"/>
        <v>-</v>
      </c>
      <c r="G102" s="546" t="str">
        <f>IF(B102="","-",SUM($F$18:F102))</f>
        <v>-</v>
      </c>
      <c r="H102" s="546" t="str">
        <f t="shared" si="10"/>
        <v>-</v>
      </c>
    </row>
    <row r="103" spans="2:9" x14ac:dyDescent="0.2">
      <c r="B103" s="530" t="str">
        <f t="shared" si="11"/>
        <v/>
      </c>
      <c r="C103" s="546" t="str">
        <f t="shared" si="7"/>
        <v>-</v>
      </c>
      <c r="D103" s="546" t="str">
        <f t="shared" si="8"/>
        <v>-</v>
      </c>
      <c r="E103" s="546" t="str">
        <f>IF(B103="","-",SUM($D$18:D103))</f>
        <v>-</v>
      </c>
      <c r="F103" s="546" t="str">
        <f t="shared" si="9"/>
        <v>-</v>
      </c>
      <c r="G103" s="546" t="str">
        <f>IF(B103="","-",SUM($F$18:F103))</f>
        <v>-</v>
      </c>
      <c r="H103" s="546" t="str">
        <f t="shared" si="10"/>
        <v>-</v>
      </c>
    </row>
    <row r="104" spans="2:9" x14ac:dyDescent="0.2">
      <c r="B104" s="530" t="str">
        <f t="shared" si="11"/>
        <v/>
      </c>
      <c r="C104" s="546" t="str">
        <f t="shared" si="7"/>
        <v>-</v>
      </c>
      <c r="D104" s="546" t="str">
        <f t="shared" si="8"/>
        <v>-</v>
      </c>
      <c r="E104" s="546" t="str">
        <f>IF(B104="","-",SUM($D$18:D104))</f>
        <v>-</v>
      </c>
      <c r="F104" s="546" t="str">
        <f t="shared" si="9"/>
        <v>-</v>
      </c>
      <c r="G104" s="546" t="str">
        <f>IF(B104="","-",SUM($F$18:F104))</f>
        <v>-</v>
      </c>
      <c r="H104" s="546" t="str">
        <f t="shared" si="10"/>
        <v>-</v>
      </c>
    </row>
    <row r="105" spans="2:9" x14ac:dyDescent="0.2">
      <c r="B105" s="530" t="str">
        <f t="shared" si="11"/>
        <v/>
      </c>
      <c r="C105" s="546" t="str">
        <f t="shared" si="7"/>
        <v>-</v>
      </c>
      <c r="D105" s="546" t="str">
        <f t="shared" si="8"/>
        <v>-</v>
      </c>
      <c r="E105" s="546" t="str">
        <f>IF(B105="","-",SUM($D$18:D105))</f>
        <v>-</v>
      </c>
      <c r="F105" s="546" t="str">
        <f t="shared" si="9"/>
        <v>-</v>
      </c>
      <c r="G105" s="546" t="str">
        <f>IF(B105="","-",SUM($F$18:F105))</f>
        <v>-</v>
      </c>
      <c r="H105" s="546" t="str">
        <f t="shared" si="10"/>
        <v>-</v>
      </c>
    </row>
    <row r="106" spans="2:9" x14ac:dyDescent="0.2">
      <c r="B106" s="530" t="str">
        <f t="shared" si="11"/>
        <v/>
      </c>
      <c r="C106" s="546" t="str">
        <f t="shared" si="7"/>
        <v>-</v>
      </c>
      <c r="D106" s="546" t="str">
        <f t="shared" si="8"/>
        <v>-</v>
      </c>
      <c r="E106" s="546" t="str">
        <f>IF(B106="","-",SUM($D$18:D106))</f>
        <v>-</v>
      </c>
      <c r="F106" s="546" t="str">
        <f t="shared" si="9"/>
        <v>-</v>
      </c>
      <c r="G106" s="546" t="str">
        <f>IF(B106="","-",SUM($F$18:F106))</f>
        <v>-</v>
      </c>
      <c r="H106" s="546" t="str">
        <f t="shared" si="10"/>
        <v>-</v>
      </c>
    </row>
    <row r="107" spans="2:9" x14ac:dyDescent="0.2">
      <c r="B107" s="530" t="str">
        <f t="shared" si="11"/>
        <v/>
      </c>
      <c r="C107" s="546" t="str">
        <f t="shared" si="7"/>
        <v>-</v>
      </c>
      <c r="D107" s="546" t="str">
        <f t="shared" si="8"/>
        <v>-</v>
      </c>
      <c r="E107" s="546" t="str">
        <f>IF(B107="","-",SUM($D$18:D107))</f>
        <v>-</v>
      </c>
      <c r="F107" s="546" t="str">
        <f t="shared" si="9"/>
        <v>-</v>
      </c>
      <c r="G107" s="546" t="str">
        <f>IF(B107="","-",SUM($F$18:F107))</f>
        <v>-</v>
      </c>
      <c r="H107" s="546" t="str">
        <f t="shared" si="10"/>
        <v>-</v>
      </c>
    </row>
    <row r="108" spans="2:9" x14ac:dyDescent="0.2">
      <c r="B108" s="530" t="str">
        <f t="shared" si="11"/>
        <v/>
      </c>
      <c r="C108" s="546" t="str">
        <f t="shared" si="7"/>
        <v>-</v>
      </c>
      <c r="D108" s="546" t="str">
        <f t="shared" si="8"/>
        <v>-</v>
      </c>
      <c r="E108" s="546" t="str">
        <f>IF(B108="","-",SUM($D$18:D108))</f>
        <v>-</v>
      </c>
      <c r="F108" s="546" t="str">
        <f t="shared" si="9"/>
        <v>-</v>
      </c>
      <c r="G108" s="546" t="str">
        <f>IF(B108="","-",SUM($F$18:F108))</f>
        <v>-</v>
      </c>
      <c r="H108" s="546" t="str">
        <f t="shared" si="10"/>
        <v>-</v>
      </c>
    </row>
    <row r="109" spans="2:9" x14ac:dyDescent="0.2">
      <c r="B109" s="530" t="str">
        <f t="shared" si="11"/>
        <v/>
      </c>
      <c r="C109" s="546" t="str">
        <f t="shared" si="7"/>
        <v>-</v>
      </c>
      <c r="D109" s="546" t="str">
        <f t="shared" si="8"/>
        <v>-</v>
      </c>
      <c r="E109" s="546" t="str">
        <f>IF(B109="","-",SUM($D$18:D109))</f>
        <v>-</v>
      </c>
      <c r="F109" s="546" t="str">
        <f t="shared" si="9"/>
        <v>-</v>
      </c>
      <c r="G109" s="546" t="str">
        <f>IF(B109="","-",SUM($F$18:F109))</f>
        <v>-</v>
      </c>
      <c r="H109" s="546" t="str">
        <f t="shared" si="10"/>
        <v>-</v>
      </c>
    </row>
    <row r="110" spans="2:9" x14ac:dyDescent="0.2">
      <c r="B110" s="530" t="str">
        <f t="shared" si="11"/>
        <v/>
      </c>
      <c r="C110" s="546" t="str">
        <f t="shared" si="7"/>
        <v>-</v>
      </c>
      <c r="D110" s="546" t="str">
        <f t="shared" si="8"/>
        <v>-</v>
      </c>
      <c r="E110" s="546" t="str">
        <f>IF(B110="","-",SUM($D$18:D110))</f>
        <v>-</v>
      </c>
      <c r="F110" s="546" t="str">
        <f t="shared" si="9"/>
        <v>-</v>
      </c>
      <c r="G110" s="546" t="str">
        <f>IF(B110="","-",SUM($F$18:F110))</f>
        <v>-</v>
      </c>
      <c r="H110" s="546" t="str">
        <f t="shared" si="10"/>
        <v>-</v>
      </c>
    </row>
    <row r="111" spans="2:9" x14ac:dyDescent="0.2">
      <c r="B111" s="530" t="str">
        <f t="shared" si="11"/>
        <v/>
      </c>
      <c r="C111" s="546" t="str">
        <f t="shared" si="7"/>
        <v>-</v>
      </c>
      <c r="D111" s="546" t="str">
        <f t="shared" si="8"/>
        <v>-</v>
      </c>
      <c r="E111" s="546" t="str">
        <f>IF(B111="","-",SUM($D$18:D111))</f>
        <v>-</v>
      </c>
      <c r="F111" s="546" t="str">
        <f t="shared" si="9"/>
        <v>-</v>
      </c>
      <c r="G111" s="546" t="str">
        <f>IF(B111="","-",SUM($F$18:F111))</f>
        <v>-</v>
      </c>
      <c r="H111" s="546" t="str">
        <f t="shared" si="10"/>
        <v>-</v>
      </c>
    </row>
    <row r="112" spans="2:9" x14ac:dyDescent="0.2">
      <c r="B112" s="530" t="str">
        <f t="shared" si="11"/>
        <v/>
      </c>
      <c r="C112" s="546" t="str">
        <f t="shared" si="7"/>
        <v>-</v>
      </c>
      <c r="D112" s="546" t="str">
        <f t="shared" si="8"/>
        <v>-</v>
      </c>
      <c r="E112" s="546" t="str">
        <f>IF(B112="","-",SUM($D$18:D112))</f>
        <v>-</v>
      </c>
      <c r="F112" s="546" t="str">
        <f t="shared" si="9"/>
        <v>-</v>
      </c>
      <c r="G112" s="546" t="str">
        <f>IF(B112="","-",SUM($F$18:F112))</f>
        <v>-</v>
      </c>
      <c r="H112" s="546" t="str">
        <f t="shared" si="10"/>
        <v>-</v>
      </c>
      <c r="I112" s="547"/>
    </row>
    <row r="113" spans="2:9" x14ac:dyDescent="0.2">
      <c r="B113" s="548" t="str">
        <f t="shared" si="11"/>
        <v/>
      </c>
      <c r="C113" s="549" t="str">
        <f t="shared" si="7"/>
        <v>-</v>
      </c>
      <c r="D113" s="549" t="str">
        <f t="shared" si="8"/>
        <v>-</v>
      </c>
      <c r="E113" s="551" t="str">
        <f>IF(B113="","-",SUM($D$18:D113))</f>
        <v>-</v>
      </c>
      <c r="F113" s="551" t="str">
        <f t="shared" si="9"/>
        <v>-</v>
      </c>
      <c r="G113" s="551" t="str">
        <f>IF(B113="","-",SUM($F$18:F113))</f>
        <v>-</v>
      </c>
      <c r="H113" s="551" t="str">
        <f t="shared" si="10"/>
        <v>-</v>
      </c>
      <c r="I113" s="552"/>
    </row>
    <row r="114" spans="2:9" x14ac:dyDescent="0.2">
      <c r="B114" s="530" t="str">
        <f t="shared" si="11"/>
        <v/>
      </c>
      <c r="C114" s="546" t="str">
        <f t="shared" si="7"/>
        <v>-</v>
      </c>
      <c r="D114" s="546" t="str">
        <f t="shared" si="8"/>
        <v>-</v>
      </c>
      <c r="E114" s="546" t="str">
        <f>IF(B114="","-",SUM($D$18:D114))</f>
        <v>-</v>
      </c>
      <c r="F114" s="546" t="str">
        <f t="shared" si="9"/>
        <v>-</v>
      </c>
      <c r="G114" s="546" t="str">
        <f>IF(B114="","-",SUM($F$18:F114))</f>
        <v>-</v>
      </c>
      <c r="H114" s="546" t="str">
        <f t="shared" si="10"/>
        <v>-</v>
      </c>
    </row>
    <row r="115" spans="2:9" x14ac:dyDescent="0.2">
      <c r="B115" s="530" t="str">
        <f t="shared" si="11"/>
        <v/>
      </c>
      <c r="C115" s="546" t="str">
        <f t="shared" si="7"/>
        <v>-</v>
      </c>
      <c r="D115" s="546" t="str">
        <f t="shared" si="8"/>
        <v>-</v>
      </c>
      <c r="E115" s="546" t="str">
        <f>IF(B115="","-",SUM($D$18:D115))</f>
        <v>-</v>
      </c>
      <c r="F115" s="546" t="str">
        <f t="shared" si="9"/>
        <v>-</v>
      </c>
      <c r="G115" s="546" t="str">
        <f>IF(B115="","-",SUM($F$18:F115))</f>
        <v>-</v>
      </c>
      <c r="H115" s="546" t="str">
        <f t="shared" si="10"/>
        <v>-</v>
      </c>
    </row>
    <row r="116" spans="2:9" x14ac:dyDescent="0.2">
      <c r="B116" s="530" t="str">
        <f t="shared" si="11"/>
        <v/>
      </c>
      <c r="C116" s="546" t="str">
        <f t="shared" si="7"/>
        <v>-</v>
      </c>
      <c r="D116" s="546" t="str">
        <f t="shared" si="8"/>
        <v>-</v>
      </c>
      <c r="E116" s="546" t="str">
        <f>IF(B116="","-",SUM($D$18:D116))</f>
        <v>-</v>
      </c>
      <c r="F116" s="546" t="str">
        <f t="shared" si="9"/>
        <v>-</v>
      </c>
      <c r="G116" s="546" t="str">
        <f>IF(B116="","-",SUM($F$18:F116))</f>
        <v>-</v>
      </c>
      <c r="H116" s="546" t="str">
        <f t="shared" si="10"/>
        <v>-</v>
      </c>
    </row>
    <row r="117" spans="2:9" x14ac:dyDescent="0.2">
      <c r="B117" s="530" t="str">
        <f t="shared" si="11"/>
        <v/>
      </c>
      <c r="C117" s="546" t="str">
        <f t="shared" si="7"/>
        <v>-</v>
      </c>
      <c r="D117" s="546" t="str">
        <f t="shared" si="8"/>
        <v>-</v>
      </c>
      <c r="E117" s="546" t="str">
        <f>IF(B117="","-",SUM($D$18:D117))</f>
        <v>-</v>
      </c>
      <c r="F117" s="546" t="str">
        <f t="shared" si="9"/>
        <v>-</v>
      </c>
      <c r="G117" s="546" t="str">
        <f>IF(B117="","-",SUM($F$18:F117))</f>
        <v>-</v>
      </c>
      <c r="H117" s="546" t="str">
        <f t="shared" si="10"/>
        <v>-</v>
      </c>
    </row>
    <row r="118" spans="2:9" x14ac:dyDescent="0.2">
      <c r="B118" s="530" t="str">
        <f t="shared" si="11"/>
        <v/>
      </c>
      <c r="C118" s="546" t="str">
        <f t="shared" si="7"/>
        <v>-</v>
      </c>
      <c r="D118" s="546" t="str">
        <f t="shared" si="8"/>
        <v>-</v>
      </c>
      <c r="E118" s="546" t="str">
        <f>IF(B118="","-",SUM($D$18:D118))</f>
        <v>-</v>
      </c>
      <c r="F118" s="546" t="str">
        <f t="shared" si="9"/>
        <v>-</v>
      </c>
      <c r="G118" s="546" t="str">
        <f>IF(B118="","-",SUM($F$18:F118))</f>
        <v>-</v>
      </c>
      <c r="H118" s="546" t="str">
        <f t="shared" si="10"/>
        <v>-</v>
      </c>
    </row>
    <row r="119" spans="2:9" x14ac:dyDescent="0.2">
      <c r="B119" s="530" t="str">
        <f t="shared" si="11"/>
        <v/>
      </c>
      <c r="C119" s="546" t="str">
        <f t="shared" si="7"/>
        <v>-</v>
      </c>
      <c r="D119" s="546" t="str">
        <f t="shared" si="8"/>
        <v>-</v>
      </c>
      <c r="E119" s="546" t="str">
        <f>IF(B119="","-",SUM($D$18:D119))</f>
        <v>-</v>
      </c>
      <c r="F119" s="546" t="str">
        <f t="shared" si="9"/>
        <v>-</v>
      </c>
      <c r="G119" s="546" t="str">
        <f>IF(B119="","-",SUM($F$18:F119))</f>
        <v>-</v>
      </c>
      <c r="H119" s="546" t="str">
        <f t="shared" si="10"/>
        <v>-</v>
      </c>
    </row>
    <row r="120" spans="2:9" x14ac:dyDescent="0.2">
      <c r="B120" s="530" t="str">
        <f t="shared" si="11"/>
        <v/>
      </c>
      <c r="C120" s="546" t="str">
        <f t="shared" si="7"/>
        <v>-</v>
      </c>
      <c r="D120" s="546" t="str">
        <f t="shared" si="8"/>
        <v>-</v>
      </c>
      <c r="E120" s="546" t="str">
        <f>IF(B120="","-",SUM($D$18:D120))</f>
        <v>-</v>
      </c>
      <c r="F120" s="546" t="str">
        <f t="shared" si="9"/>
        <v>-</v>
      </c>
      <c r="G120" s="546" t="str">
        <f>IF(B120="","-",SUM($F$18:F120))</f>
        <v>-</v>
      </c>
      <c r="H120" s="546" t="str">
        <f t="shared" si="10"/>
        <v>-</v>
      </c>
    </row>
    <row r="121" spans="2:9" x14ac:dyDescent="0.2">
      <c r="B121" s="530" t="str">
        <f t="shared" si="11"/>
        <v/>
      </c>
      <c r="C121" s="546" t="str">
        <f t="shared" si="7"/>
        <v>-</v>
      </c>
      <c r="D121" s="546" t="str">
        <f t="shared" si="8"/>
        <v>-</v>
      </c>
      <c r="E121" s="546" t="str">
        <f>IF(B121="","-",SUM($D$18:D121))</f>
        <v>-</v>
      </c>
      <c r="F121" s="546" t="str">
        <f t="shared" si="9"/>
        <v>-</v>
      </c>
      <c r="G121" s="546" t="str">
        <f>IF(B121="","-",SUM($F$18:F121))</f>
        <v>-</v>
      </c>
      <c r="H121" s="546" t="str">
        <f t="shared" si="10"/>
        <v>-</v>
      </c>
    </row>
    <row r="122" spans="2:9" x14ac:dyDescent="0.2">
      <c r="B122" s="530" t="str">
        <f t="shared" si="11"/>
        <v/>
      </c>
      <c r="C122" s="546" t="str">
        <f t="shared" si="7"/>
        <v>-</v>
      </c>
      <c r="D122" s="546" t="str">
        <f t="shared" si="8"/>
        <v>-</v>
      </c>
      <c r="E122" s="546" t="str">
        <f>IF(B122="","-",SUM($D$18:D122))</f>
        <v>-</v>
      </c>
      <c r="F122" s="546" t="str">
        <f t="shared" si="9"/>
        <v>-</v>
      </c>
      <c r="G122" s="546" t="str">
        <f>IF(B122="","-",SUM($F$18:F122))</f>
        <v>-</v>
      </c>
      <c r="H122" s="546" t="str">
        <f t="shared" si="10"/>
        <v>-</v>
      </c>
    </row>
    <row r="123" spans="2:9" x14ac:dyDescent="0.2">
      <c r="B123" s="530" t="str">
        <f t="shared" si="11"/>
        <v/>
      </c>
      <c r="C123" s="546" t="str">
        <f t="shared" si="7"/>
        <v>-</v>
      </c>
      <c r="D123" s="546" t="str">
        <f t="shared" si="8"/>
        <v>-</v>
      </c>
      <c r="E123" s="546" t="str">
        <f>IF(B123="","-",SUM($D$18:D123))</f>
        <v>-</v>
      </c>
      <c r="F123" s="546" t="str">
        <f t="shared" si="9"/>
        <v>-</v>
      </c>
      <c r="G123" s="546" t="str">
        <f>IF(B123="","-",SUM($F$18:F123))</f>
        <v>-</v>
      </c>
      <c r="H123" s="546" t="str">
        <f t="shared" si="10"/>
        <v>-</v>
      </c>
    </row>
    <row r="124" spans="2:9" x14ac:dyDescent="0.2">
      <c r="B124" s="530" t="str">
        <f t="shared" si="11"/>
        <v/>
      </c>
      <c r="C124" s="546" t="str">
        <f t="shared" si="7"/>
        <v>-</v>
      </c>
      <c r="D124" s="546" t="str">
        <f t="shared" si="8"/>
        <v>-</v>
      </c>
      <c r="E124" s="546" t="str">
        <f>IF(B124="","-",SUM($D$18:D124))</f>
        <v>-</v>
      </c>
      <c r="F124" s="546" t="str">
        <f t="shared" si="9"/>
        <v>-</v>
      </c>
      <c r="G124" s="546" t="str">
        <f>IF(B124="","-",SUM($F$18:F124))</f>
        <v>-</v>
      </c>
      <c r="H124" s="546" t="str">
        <f t="shared" si="10"/>
        <v>-</v>
      </c>
      <c r="I124" s="547"/>
    </row>
    <row r="125" spans="2:9" x14ac:dyDescent="0.2">
      <c r="B125" s="548" t="str">
        <f t="shared" si="11"/>
        <v/>
      </c>
      <c r="C125" s="549" t="str">
        <f t="shared" si="7"/>
        <v>-</v>
      </c>
      <c r="D125" s="549" t="str">
        <f t="shared" si="8"/>
        <v>-</v>
      </c>
      <c r="E125" s="551" t="str">
        <f>IF(B125="","-",SUM($D$18:D125))</f>
        <v>-</v>
      </c>
      <c r="F125" s="551" t="str">
        <f t="shared" si="9"/>
        <v>-</v>
      </c>
      <c r="G125" s="551" t="str">
        <f>IF(B125="","-",SUM($F$18:F125))</f>
        <v>-</v>
      </c>
      <c r="H125" s="551" t="str">
        <f t="shared" si="10"/>
        <v>-</v>
      </c>
    </row>
    <row r="126" spans="2:9" x14ac:dyDescent="0.2">
      <c r="B126" s="530" t="str">
        <f t="shared" si="11"/>
        <v/>
      </c>
      <c r="C126" s="546" t="str">
        <f t="shared" si="7"/>
        <v>-</v>
      </c>
      <c r="D126" s="546" t="str">
        <f t="shared" si="8"/>
        <v>-</v>
      </c>
      <c r="E126" s="546" t="str">
        <f>IF(B126="","-",SUM($D$18:D126))</f>
        <v>-</v>
      </c>
      <c r="F126" s="546" t="str">
        <f t="shared" si="9"/>
        <v>-</v>
      </c>
      <c r="G126" s="546" t="str">
        <f>IF(B126="","-",SUM($F$18:F126))</f>
        <v>-</v>
      </c>
      <c r="H126" s="546" t="str">
        <f t="shared" si="10"/>
        <v>-</v>
      </c>
    </row>
    <row r="127" spans="2:9" x14ac:dyDescent="0.2">
      <c r="B127" s="530" t="str">
        <f t="shared" si="11"/>
        <v/>
      </c>
      <c r="C127" s="546" t="str">
        <f t="shared" si="7"/>
        <v>-</v>
      </c>
      <c r="D127" s="546" t="str">
        <f t="shared" si="8"/>
        <v>-</v>
      </c>
      <c r="E127" s="546" t="str">
        <f>IF(B127="","-",SUM($D$18:D127))</f>
        <v>-</v>
      </c>
      <c r="F127" s="546" t="str">
        <f t="shared" si="9"/>
        <v>-</v>
      </c>
      <c r="G127" s="546" t="str">
        <f>IF(B127="","-",SUM($F$18:F127))</f>
        <v>-</v>
      </c>
      <c r="H127" s="546" t="str">
        <f t="shared" si="10"/>
        <v>-</v>
      </c>
    </row>
    <row r="128" spans="2:9" x14ac:dyDescent="0.2">
      <c r="B128" s="530" t="str">
        <f t="shared" si="11"/>
        <v/>
      </c>
      <c r="C128" s="546" t="str">
        <f t="shared" si="7"/>
        <v>-</v>
      </c>
      <c r="D128" s="546" t="str">
        <f t="shared" si="8"/>
        <v>-</v>
      </c>
      <c r="E128" s="546" t="str">
        <f>IF(B128="","-",SUM($D$18:D128))</f>
        <v>-</v>
      </c>
      <c r="F128" s="546" t="str">
        <f t="shared" si="9"/>
        <v>-</v>
      </c>
      <c r="G128" s="546" t="str">
        <f>IF(B128="","-",SUM($F$18:F128))</f>
        <v>-</v>
      </c>
      <c r="H128" s="546" t="str">
        <f t="shared" si="10"/>
        <v>-</v>
      </c>
    </row>
    <row r="129" spans="2:9" x14ac:dyDescent="0.2">
      <c r="B129" s="530" t="str">
        <f t="shared" si="11"/>
        <v/>
      </c>
      <c r="C129" s="546" t="str">
        <f t="shared" si="7"/>
        <v>-</v>
      </c>
      <c r="D129" s="546" t="str">
        <f t="shared" si="8"/>
        <v>-</v>
      </c>
      <c r="E129" s="546" t="str">
        <f>IF(B129="","-",SUM($D$18:D129))</f>
        <v>-</v>
      </c>
      <c r="F129" s="546" t="str">
        <f t="shared" si="9"/>
        <v>-</v>
      </c>
      <c r="G129" s="546" t="str">
        <f>IF(B129="","-",SUM($F$18:F129))</f>
        <v>-</v>
      </c>
      <c r="H129" s="546" t="str">
        <f t="shared" si="10"/>
        <v>-</v>
      </c>
    </row>
    <row r="130" spans="2:9" x14ac:dyDescent="0.2">
      <c r="B130" s="530" t="str">
        <f t="shared" si="11"/>
        <v/>
      </c>
      <c r="C130" s="546" t="str">
        <f t="shared" si="7"/>
        <v>-</v>
      </c>
      <c r="D130" s="546" t="str">
        <f t="shared" si="8"/>
        <v>-</v>
      </c>
      <c r="E130" s="546" t="str">
        <f>IF(B130="","-",SUM($D$18:D130))</f>
        <v>-</v>
      </c>
      <c r="F130" s="546" t="str">
        <f t="shared" si="9"/>
        <v>-</v>
      </c>
      <c r="G130" s="546" t="str">
        <f>IF(B130="","-",SUM($F$18:F130))</f>
        <v>-</v>
      </c>
      <c r="H130" s="546" t="str">
        <f t="shared" si="10"/>
        <v>-</v>
      </c>
    </row>
    <row r="131" spans="2:9" x14ac:dyDescent="0.2">
      <c r="B131" s="530" t="str">
        <f t="shared" si="11"/>
        <v/>
      </c>
      <c r="C131" s="546" t="str">
        <f t="shared" si="7"/>
        <v>-</v>
      </c>
      <c r="D131" s="546" t="str">
        <f t="shared" si="8"/>
        <v>-</v>
      </c>
      <c r="E131" s="546" t="str">
        <f>IF(B131="","-",SUM($D$18:D131))</f>
        <v>-</v>
      </c>
      <c r="F131" s="546" t="str">
        <f t="shared" si="9"/>
        <v>-</v>
      </c>
      <c r="G131" s="546" t="str">
        <f>IF(B131="","-",SUM($F$18:F131))</f>
        <v>-</v>
      </c>
      <c r="H131" s="546" t="str">
        <f t="shared" si="10"/>
        <v>-</v>
      </c>
    </row>
    <row r="132" spans="2:9" x14ac:dyDescent="0.2">
      <c r="B132" s="530" t="str">
        <f t="shared" si="11"/>
        <v/>
      </c>
      <c r="C132" s="546" t="str">
        <f t="shared" si="7"/>
        <v>-</v>
      </c>
      <c r="D132" s="546" t="str">
        <f t="shared" si="8"/>
        <v>-</v>
      </c>
      <c r="E132" s="546" t="str">
        <f>IF(B132="","-",SUM($D$18:D132))</f>
        <v>-</v>
      </c>
      <c r="F132" s="546" t="str">
        <f t="shared" si="9"/>
        <v>-</v>
      </c>
      <c r="G132" s="546" t="str">
        <f>IF(B132="","-",SUM($F$18:F132))</f>
        <v>-</v>
      </c>
      <c r="H132" s="546" t="str">
        <f t="shared" si="10"/>
        <v>-</v>
      </c>
    </row>
    <row r="133" spans="2:9" x14ac:dyDescent="0.2">
      <c r="B133" s="530" t="str">
        <f t="shared" si="11"/>
        <v/>
      </c>
      <c r="C133" s="546" t="str">
        <f t="shared" si="7"/>
        <v>-</v>
      </c>
      <c r="D133" s="546" t="str">
        <f t="shared" si="8"/>
        <v>-</v>
      </c>
      <c r="E133" s="546" t="str">
        <f>IF(B133="","-",SUM($D$18:D133))</f>
        <v>-</v>
      </c>
      <c r="F133" s="546" t="str">
        <f t="shared" si="9"/>
        <v>-</v>
      </c>
      <c r="G133" s="546" t="str">
        <f>IF(B133="","-",SUM($F$18:F133))</f>
        <v>-</v>
      </c>
      <c r="H133" s="546" t="str">
        <f t="shared" si="10"/>
        <v>-</v>
      </c>
    </row>
    <row r="134" spans="2:9" x14ac:dyDescent="0.2">
      <c r="B134" s="530" t="str">
        <f t="shared" si="11"/>
        <v/>
      </c>
      <c r="C134" s="546" t="str">
        <f t="shared" si="7"/>
        <v>-</v>
      </c>
      <c r="D134" s="546" t="str">
        <f t="shared" si="8"/>
        <v>-</v>
      </c>
      <c r="E134" s="546" t="str">
        <f>IF(B134="","-",SUM($D$18:D134))</f>
        <v>-</v>
      </c>
      <c r="F134" s="546" t="str">
        <f t="shared" si="9"/>
        <v>-</v>
      </c>
      <c r="G134" s="546" t="str">
        <f>IF(B134="","-",SUM($F$18:F134))</f>
        <v>-</v>
      </c>
      <c r="H134" s="546" t="str">
        <f t="shared" si="10"/>
        <v>-</v>
      </c>
    </row>
    <row r="135" spans="2:9" x14ac:dyDescent="0.2">
      <c r="B135" s="530" t="str">
        <f t="shared" si="11"/>
        <v/>
      </c>
      <c r="C135" s="546" t="str">
        <f t="shared" si="7"/>
        <v>-</v>
      </c>
      <c r="D135" s="546" t="str">
        <f t="shared" si="8"/>
        <v>-</v>
      </c>
      <c r="E135" s="546" t="str">
        <f>IF(B135="","-",SUM($D$18:D135))</f>
        <v>-</v>
      </c>
      <c r="F135" s="546" t="str">
        <f t="shared" si="9"/>
        <v>-</v>
      </c>
      <c r="G135" s="546" t="str">
        <f>IF(B135="","-",SUM($F$18:F135))</f>
        <v>-</v>
      </c>
      <c r="H135" s="546" t="str">
        <f t="shared" si="10"/>
        <v>-</v>
      </c>
    </row>
    <row r="136" spans="2:9" x14ac:dyDescent="0.2">
      <c r="B136" s="530" t="str">
        <f t="shared" si="11"/>
        <v/>
      </c>
      <c r="C136" s="546" t="str">
        <f t="shared" si="7"/>
        <v>-</v>
      </c>
      <c r="D136" s="546" t="str">
        <f t="shared" si="8"/>
        <v>-</v>
      </c>
      <c r="E136" s="546" t="str">
        <f>IF(B136="","-",SUM($D$18:D136))</f>
        <v>-</v>
      </c>
      <c r="F136" s="546" t="str">
        <f t="shared" si="9"/>
        <v>-</v>
      </c>
      <c r="G136" s="546" t="str">
        <f>IF(B136="","-",SUM($F$18:F136))</f>
        <v>-</v>
      </c>
      <c r="H136" s="546" t="str">
        <f t="shared" si="10"/>
        <v>-</v>
      </c>
      <c r="I136" s="547"/>
    </row>
    <row r="137" spans="2:9" x14ac:dyDescent="0.2">
      <c r="B137" s="548" t="str">
        <f t="shared" si="11"/>
        <v/>
      </c>
      <c r="C137" s="549" t="str">
        <f t="shared" si="7"/>
        <v>-</v>
      </c>
      <c r="D137" s="549" t="str">
        <f t="shared" si="8"/>
        <v>-</v>
      </c>
      <c r="E137" s="551" t="str">
        <f>IF(B137="","-",SUM($D$18:D137))</f>
        <v>-</v>
      </c>
      <c r="F137" s="551" t="str">
        <f t="shared" si="9"/>
        <v>-</v>
      </c>
      <c r="G137" s="551" t="str">
        <f>IF(B137="","-",SUM($F$18:F137))</f>
        <v>-</v>
      </c>
      <c r="H137" s="551" t="str">
        <f t="shared" si="10"/>
        <v>-</v>
      </c>
    </row>
    <row r="138" spans="2:9" x14ac:dyDescent="0.2">
      <c r="B138" s="530" t="str">
        <f t="shared" si="11"/>
        <v/>
      </c>
      <c r="C138" s="546" t="str">
        <f t="shared" si="7"/>
        <v>-</v>
      </c>
      <c r="D138" s="546" t="str">
        <f t="shared" si="8"/>
        <v>-</v>
      </c>
      <c r="E138" s="546" t="str">
        <f>IF(B138="","-",SUM($D$18:D138))</f>
        <v>-</v>
      </c>
      <c r="F138" s="546" t="str">
        <f t="shared" si="9"/>
        <v>-</v>
      </c>
      <c r="G138" s="546" t="str">
        <f>IF(B138="","-",SUM($F$18:F138))</f>
        <v>-</v>
      </c>
      <c r="H138" s="546" t="str">
        <f t="shared" si="10"/>
        <v>-</v>
      </c>
    </row>
    <row r="139" spans="2:9" x14ac:dyDescent="0.2">
      <c r="B139" s="530" t="str">
        <f t="shared" si="11"/>
        <v/>
      </c>
      <c r="C139" s="546" t="str">
        <f t="shared" si="7"/>
        <v>-</v>
      </c>
      <c r="D139" s="546" t="str">
        <f t="shared" si="8"/>
        <v>-</v>
      </c>
      <c r="E139" s="546" t="str">
        <f>IF(B139="","-",SUM($D$18:D139))</f>
        <v>-</v>
      </c>
      <c r="F139" s="546" t="str">
        <f t="shared" si="9"/>
        <v>-</v>
      </c>
      <c r="G139" s="546" t="str">
        <f>IF(B139="","-",SUM($F$18:F139))</f>
        <v>-</v>
      </c>
      <c r="H139" s="546" t="str">
        <f t="shared" si="10"/>
        <v>-</v>
      </c>
    </row>
    <row r="140" spans="2:9" x14ac:dyDescent="0.2">
      <c r="B140" s="530" t="str">
        <f t="shared" si="11"/>
        <v/>
      </c>
      <c r="C140" s="546" t="str">
        <f t="shared" si="7"/>
        <v>-</v>
      </c>
      <c r="D140" s="546" t="str">
        <f t="shared" si="8"/>
        <v>-</v>
      </c>
      <c r="E140" s="546" t="str">
        <f>IF(B140="","-",SUM($D$18:D140))</f>
        <v>-</v>
      </c>
      <c r="F140" s="546" t="str">
        <f t="shared" si="9"/>
        <v>-</v>
      </c>
      <c r="G140" s="546" t="str">
        <f>IF(B140="","-",SUM($F$18:F140))</f>
        <v>-</v>
      </c>
      <c r="H140" s="546" t="str">
        <f t="shared" si="10"/>
        <v>-</v>
      </c>
    </row>
    <row r="141" spans="2:9" x14ac:dyDescent="0.2">
      <c r="B141" s="530" t="str">
        <f t="shared" si="11"/>
        <v/>
      </c>
      <c r="C141" s="546" t="str">
        <f t="shared" si="7"/>
        <v>-</v>
      </c>
      <c r="D141" s="546" t="str">
        <f t="shared" si="8"/>
        <v>-</v>
      </c>
      <c r="E141" s="546" t="str">
        <f>IF(B141="","-",SUM($D$18:D141))</f>
        <v>-</v>
      </c>
      <c r="F141" s="546" t="str">
        <f t="shared" si="9"/>
        <v>-</v>
      </c>
      <c r="G141" s="546" t="str">
        <f>IF(B141="","-",SUM($F$18:F141))</f>
        <v>-</v>
      </c>
      <c r="H141" s="546" t="str">
        <f t="shared" si="10"/>
        <v>-</v>
      </c>
    </row>
    <row r="142" spans="2:9" x14ac:dyDescent="0.2">
      <c r="B142" s="530" t="str">
        <f t="shared" si="11"/>
        <v/>
      </c>
      <c r="C142" s="546" t="str">
        <f t="shared" si="7"/>
        <v>-</v>
      </c>
      <c r="D142" s="546" t="str">
        <f t="shared" si="8"/>
        <v>-</v>
      </c>
      <c r="E142" s="546" t="str">
        <f>IF(B142="","-",SUM($D$18:D142))</f>
        <v>-</v>
      </c>
      <c r="F142" s="546" t="str">
        <f t="shared" si="9"/>
        <v>-</v>
      </c>
      <c r="G142" s="546" t="str">
        <f>IF(B142="","-",SUM($F$18:F142))</f>
        <v>-</v>
      </c>
      <c r="H142" s="546" t="str">
        <f t="shared" si="10"/>
        <v>-</v>
      </c>
    </row>
    <row r="143" spans="2:9" x14ac:dyDescent="0.2">
      <c r="B143" s="530" t="str">
        <f t="shared" si="11"/>
        <v/>
      </c>
      <c r="C143" s="546" t="str">
        <f t="shared" si="7"/>
        <v>-</v>
      </c>
      <c r="D143" s="546" t="str">
        <f t="shared" si="8"/>
        <v>-</v>
      </c>
      <c r="E143" s="546" t="str">
        <f>IF(B143="","-",SUM($D$18:D143))</f>
        <v>-</v>
      </c>
      <c r="F143" s="546" t="str">
        <f t="shared" si="9"/>
        <v>-</v>
      </c>
      <c r="G143" s="546" t="str">
        <f>IF(B143="","-",SUM($F$18:F143))</f>
        <v>-</v>
      </c>
      <c r="H143" s="546" t="str">
        <f t="shared" si="10"/>
        <v>-</v>
      </c>
    </row>
    <row r="144" spans="2:9" x14ac:dyDescent="0.2">
      <c r="B144" s="530" t="str">
        <f t="shared" si="11"/>
        <v/>
      </c>
      <c r="C144" s="546" t="str">
        <f t="shared" si="7"/>
        <v>-</v>
      </c>
      <c r="D144" s="546" t="str">
        <f t="shared" si="8"/>
        <v>-</v>
      </c>
      <c r="E144" s="546" t="str">
        <f>IF(B144="","-",SUM($D$18:D144))</f>
        <v>-</v>
      </c>
      <c r="F144" s="546" t="str">
        <f t="shared" si="9"/>
        <v>-</v>
      </c>
      <c r="G144" s="546" t="str">
        <f>IF(B144="","-",SUM($F$18:F144))</f>
        <v>-</v>
      </c>
      <c r="H144" s="546" t="str">
        <f t="shared" si="10"/>
        <v>-</v>
      </c>
    </row>
    <row r="145" spans="2:8" x14ac:dyDescent="0.2">
      <c r="B145" s="530" t="str">
        <f t="shared" si="11"/>
        <v/>
      </c>
      <c r="C145" s="546" t="str">
        <f t="shared" si="7"/>
        <v>-</v>
      </c>
      <c r="D145" s="546" t="str">
        <f t="shared" si="8"/>
        <v>-</v>
      </c>
      <c r="E145" s="546" t="str">
        <f>IF(B145="","-",SUM($D$18:D145))</f>
        <v>-</v>
      </c>
      <c r="F145" s="546" t="str">
        <f t="shared" si="9"/>
        <v>-</v>
      </c>
      <c r="G145" s="546" t="str">
        <f>IF(B145="","-",SUM($F$18:F145))</f>
        <v>-</v>
      </c>
      <c r="H145" s="546" t="str">
        <f t="shared" si="10"/>
        <v>-</v>
      </c>
    </row>
    <row r="146" spans="2:8" x14ac:dyDescent="0.2">
      <c r="B146" s="530" t="str">
        <f t="shared" si="11"/>
        <v/>
      </c>
      <c r="C146" s="546" t="str">
        <f t="shared" ref="C146:C209" si="12">IF(B146="","-",IF(B146&lt;=$D$6,D146,  $D$7))</f>
        <v>-</v>
      </c>
      <c r="D146" s="546" t="str">
        <f t="shared" ref="D146:D209" si="13">IF(B146="","-",$D$4/12*H145)</f>
        <v>-</v>
      </c>
      <c r="E146" s="546" t="str">
        <f>IF(B146="","-",SUM($D$18:D146))</f>
        <v>-</v>
      </c>
      <c r="F146" s="546" t="str">
        <f t="shared" ref="F146:F209" si="14">IF(B146="","-",C146-D146)</f>
        <v>-</v>
      </c>
      <c r="G146" s="546" t="str">
        <f>IF(B146="","-",SUM($F$18:F146))</f>
        <v>-</v>
      </c>
      <c r="H146" s="546" t="str">
        <f t="shared" ref="H146:H209" si="15">IF(B146="","-",H145-F146)</f>
        <v>-</v>
      </c>
    </row>
    <row r="147" spans="2:8" x14ac:dyDescent="0.2">
      <c r="B147" s="530" t="str">
        <f t="shared" si="11"/>
        <v/>
      </c>
      <c r="C147" s="546" t="str">
        <f t="shared" si="12"/>
        <v>-</v>
      </c>
      <c r="D147" s="546" t="str">
        <f t="shared" si="13"/>
        <v>-</v>
      </c>
      <c r="E147" s="546" t="str">
        <f>IF(B147="","-",SUM($D$18:D147))</f>
        <v>-</v>
      </c>
      <c r="F147" s="546" t="str">
        <f t="shared" si="14"/>
        <v>-</v>
      </c>
      <c r="G147" s="546" t="str">
        <f>IF(B147="","-",SUM($F$18:F147))</f>
        <v>-</v>
      </c>
      <c r="H147" s="546" t="str">
        <f t="shared" si="15"/>
        <v>-</v>
      </c>
    </row>
    <row r="148" spans="2:8" x14ac:dyDescent="0.2">
      <c r="B148" s="530" t="str">
        <f t="shared" si="11"/>
        <v/>
      </c>
      <c r="C148" s="546" t="str">
        <f t="shared" si="12"/>
        <v>-</v>
      </c>
      <c r="D148" s="546" t="str">
        <f t="shared" si="13"/>
        <v>-</v>
      </c>
      <c r="E148" s="546" t="str">
        <f>IF(B148="","-",SUM($D$18:D148))</f>
        <v>-</v>
      </c>
      <c r="F148" s="546" t="str">
        <f t="shared" si="14"/>
        <v>-</v>
      </c>
      <c r="G148" s="546" t="str">
        <f>IF(B148="","-",SUM($F$18:F148))</f>
        <v>-</v>
      </c>
      <c r="H148" s="546" t="str">
        <f t="shared" si="15"/>
        <v>-</v>
      </c>
    </row>
    <row r="149" spans="2:8" x14ac:dyDescent="0.2">
      <c r="B149" s="530" t="str">
        <f t="shared" si="11"/>
        <v/>
      </c>
      <c r="C149" s="549" t="str">
        <f t="shared" si="12"/>
        <v>-</v>
      </c>
      <c r="D149" s="546" t="str">
        <f t="shared" si="13"/>
        <v>-</v>
      </c>
      <c r="E149" s="546" t="str">
        <f>IF(B149="","-",SUM($D$18:D149))</f>
        <v>-</v>
      </c>
      <c r="F149" s="546" t="str">
        <f t="shared" si="14"/>
        <v>-</v>
      </c>
      <c r="G149" s="546" t="str">
        <f>IF(B149="","-",SUM($F$18:F149))</f>
        <v>-</v>
      </c>
      <c r="H149" s="546" t="str">
        <f t="shared" si="15"/>
        <v>-</v>
      </c>
    </row>
    <row r="150" spans="2:8" x14ac:dyDescent="0.2">
      <c r="B150" s="530" t="str">
        <f t="shared" si="11"/>
        <v/>
      </c>
      <c r="C150" s="546" t="str">
        <f t="shared" si="12"/>
        <v>-</v>
      </c>
      <c r="D150" s="546" t="str">
        <f t="shared" si="13"/>
        <v>-</v>
      </c>
      <c r="E150" s="546" t="str">
        <f>IF(B150="","-",SUM($D$18:D150))</f>
        <v>-</v>
      </c>
      <c r="F150" s="546" t="str">
        <f t="shared" si="14"/>
        <v>-</v>
      </c>
      <c r="G150" s="546" t="str">
        <f>IF(B150="","-",SUM($F$18:F150))</f>
        <v>-</v>
      </c>
      <c r="H150" s="546" t="str">
        <f t="shared" si="15"/>
        <v>-</v>
      </c>
    </row>
    <row r="151" spans="2:8" x14ac:dyDescent="0.2">
      <c r="B151" s="530" t="str">
        <f t="shared" si="11"/>
        <v/>
      </c>
      <c r="C151" s="546" t="str">
        <f t="shared" si="12"/>
        <v>-</v>
      </c>
      <c r="D151" s="546" t="str">
        <f t="shared" si="13"/>
        <v>-</v>
      </c>
      <c r="E151" s="546" t="str">
        <f>IF(B151="","-",SUM($D$18:D151))</f>
        <v>-</v>
      </c>
      <c r="F151" s="546" t="str">
        <f t="shared" si="14"/>
        <v>-</v>
      </c>
      <c r="G151" s="546" t="str">
        <f>IF(B151="","-",SUM($F$18:F151))</f>
        <v>-</v>
      </c>
      <c r="H151" s="546" t="str">
        <f t="shared" si="15"/>
        <v>-</v>
      </c>
    </row>
    <row r="152" spans="2:8" x14ac:dyDescent="0.2">
      <c r="B152" s="530" t="str">
        <f t="shared" si="11"/>
        <v/>
      </c>
      <c r="C152" s="546" t="str">
        <f t="shared" si="12"/>
        <v>-</v>
      </c>
      <c r="D152" s="546" t="str">
        <f t="shared" si="13"/>
        <v>-</v>
      </c>
      <c r="E152" s="546" t="str">
        <f>IF(B152="","-",SUM($D$18:D152))</f>
        <v>-</v>
      </c>
      <c r="F152" s="546" t="str">
        <f t="shared" si="14"/>
        <v>-</v>
      </c>
      <c r="G152" s="546" t="str">
        <f>IF(B152="","-",SUM($F$18:F152))</f>
        <v>-</v>
      </c>
      <c r="H152" s="546" t="str">
        <f t="shared" si="15"/>
        <v>-</v>
      </c>
    </row>
    <row r="153" spans="2:8" x14ac:dyDescent="0.2">
      <c r="B153" s="530" t="str">
        <f t="shared" si="11"/>
        <v/>
      </c>
      <c r="C153" s="546" t="str">
        <f t="shared" si="12"/>
        <v>-</v>
      </c>
      <c r="D153" s="546" t="str">
        <f t="shared" si="13"/>
        <v>-</v>
      </c>
      <c r="E153" s="546" t="str">
        <f>IF(B153="","-",SUM($D$18:D153))</f>
        <v>-</v>
      </c>
      <c r="F153" s="546" t="str">
        <f t="shared" si="14"/>
        <v>-</v>
      </c>
      <c r="G153" s="546" t="str">
        <f>IF(B153="","-",SUM($F$18:F153))</f>
        <v>-</v>
      </c>
      <c r="H153" s="546" t="str">
        <f t="shared" si="15"/>
        <v>-</v>
      </c>
    </row>
    <row r="154" spans="2:8" x14ac:dyDescent="0.2">
      <c r="B154" s="530" t="str">
        <f t="shared" si="11"/>
        <v/>
      </c>
      <c r="C154" s="546" t="str">
        <f t="shared" si="12"/>
        <v>-</v>
      </c>
      <c r="D154" s="546" t="str">
        <f t="shared" si="13"/>
        <v>-</v>
      </c>
      <c r="E154" s="546" t="str">
        <f>IF(B154="","-",SUM($D$18:D154))</f>
        <v>-</v>
      </c>
      <c r="F154" s="546" t="str">
        <f t="shared" si="14"/>
        <v>-</v>
      </c>
      <c r="G154" s="546" t="str">
        <f>IF(B154="","-",SUM($F$18:F154))</f>
        <v>-</v>
      </c>
      <c r="H154" s="546" t="str">
        <f t="shared" si="15"/>
        <v>-</v>
      </c>
    </row>
    <row r="155" spans="2:8" x14ac:dyDescent="0.2">
      <c r="B155" s="530" t="str">
        <f t="shared" si="11"/>
        <v/>
      </c>
      <c r="C155" s="546" t="str">
        <f t="shared" si="12"/>
        <v>-</v>
      </c>
      <c r="D155" s="546" t="str">
        <f t="shared" si="13"/>
        <v>-</v>
      </c>
      <c r="E155" s="546" t="str">
        <f>IF(B155="","-",SUM($D$18:D155))</f>
        <v>-</v>
      </c>
      <c r="F155" s="546" t="str">
        <f t="shared" si="14"/>
        <v>-</v>
      </c>
      <c r="G155" s="546" t="str">
        <f>IF(B155="","-",SUM($F$18:F155))</f>
        <v>-</v>
      </c>
      <c r="H155" s="546" t="str">
        <f t="shared" si="15"/>
        <v>-</v>
      </c>
    </row>
    <row r="156" spans="2:8" x14ac:dyDescent="0.2">
      <c r="B156" s="530" t="str">
        <f t="shared" si="11"/>
        <v/>
      </c>
      <c r="C156" s="546" t="str">
        <f t="shared" si="12"/>
        <v>-</v>
      </c>
      <c r="D156" s="546" t="str">
        <f t="shared" si="13"/>
        <v>-</v>
      </c>
      <c r="E156" s="546" t="str">
        <f>IF(B156="","-",SUM($D$18:D156))</f>
        <v>-</v>
      </c>
      <c r="F156" s="546" t="str">
        <f t="shared" si="14"/>
        <v>-</v>
      </c>
      <c r="G156" s="546" t="str">
        <f>IF(B156="","-",SUM($F$18:F156))</f>
        <v>-</v>
      </c>
      <c r="H156" s="546" t="str">
        <f t="shared" si="15"/>
        <v>-</v>
      </c>
    </row>
    <row r="157" spans="2:8" x14ac:dyDescent="0.2">
      <c r="B157" s="530" t="str">
        <f t="shared" si="11"/>
        <v/>
      </c>
      <c r="C157" s="546" t="str">
        <f t="shared" si="12"/>
        <v>-</v>
      </c>
      <c r="D157" s="546" t="str">
        <f t="shared" si="13"/>
        <v>-</v>
      </c>
      <c r="E157" s="546" t="str">
        <f>IF(B157="","-",SUM($D$18:D157))</f>
        <v>-</v>
      </c>
      <c r="F157" s="546" t="str">
        <f t="shared" si="14"/>
        <v>-</v>
      </c>
      <c r="G157" s="546" t="str">
        <f>IF(B157="","-",SUM($F$18:F157))</f>
        <v>-</v>
      </c>
      <c r="H157" s="546" t="str">
        <f t="shared" si="15"/>
        <v>-</v>
      </c>
    </row>
    <row r="158" spans="2:8" x14ac:dyDescent="0.2">
      <c r="B158" s="530" t="str">
        <f t="shared" ref="B158:B221" si="16">IF(B157&gt;=$D$5*12,"",B157+1)</f>
        <v/>
      </c>
      <c r="C158" s="546" t="str">
        <f t="shared" si="12"/>
        <v>-</v>
      </c>
      <c r="D158" s="546" t="str">
        <f t="shared" si="13"/>
        <v>-</v>
      </c>
      <c r="E158" s="546" t="str">
        <f>IF(B158="","-",SUM($D$18:D158))</f>
        <v>-</v>
      </c>
      <c r="F158" s="546" t="str">
        <f t="shared" si="14"/>
        <v>-</v>
      </c>
      <c r="G158" s="546" t="str">
        <f>IF(B158="","-",SUM($F$18:F158))</f>
        <v>-</v>
      </c>
      <c r="H158" s="546" t="str">
        <f t="shared" si="15"/>
        <v>-</v>
      </c>
    </row>
    <row r="159" spans="2:8" x14ac:dyDescent="0.2">
      <c r="B159" s="530" t="str">
        <f t="shared" si="16"/>
        <v/>
      </c>
      <c r="C159" s="546" t="str">
        <f t="shared" si="12"/>
        <v>-</v>
      </c>
      <c r="D159" s="546" t="str">
        <f t="shared" si="13"/>
        <v>-</v>
      </c>
      <c r="E159" s="546" t="str">
        <f>IF(B159="","-",SUM($D$18:D159))</f>
        <v>-</v>
      </c>
      <c r="F159" s="546" t="str">
        <f t="shared" si="14"/>
        <v>-</v>
      </c>
      <c r="G159" s="546" t="str">
        <f>IF(B159="","-",SUM($F$18:F159))</f>
        <v>-</v>
      </c>
      <c r="H159" s="546" t="str">
        <f t="shared" si="15"/>
        <v>-</v>
      </c>
    </row>
    <row r="160" spans="2:8" x14ac:dyDescent="0.2">
      <c r="B160" s="530" t="str">
        <f t="shared" si="16"/>
        <v/>
      </c>
      <c r="C160" s="546" t="str">
        <f t="shared" si="12"/>
        <v>-</v>
      </c>
      <c r="D160" s="546" t="str">
        <f t="shared" si="13"/>
        <v>-</v>
      </c>
      <c r="E160" s="546" t="str">
        <f>IF(B160="","-",SUM($D$18:D160))</f>
        <v>-</v>
      </c>
      <c r="F160" s="546" t="str">
        <f t="shared" si="14"/>
        <v>-</v>
      </c>
      <c r="G160" s="546" t="str">
        <f>IF(B160="","-",SUM($F$18:F160))</f>
        <v>-</v>
      </c>
      <c r="H160" s="546" t="str">
        <f t="shared" si="15"/>
        <v>-</v>
      </c>
    </row>
    <row r="161" spans="2:8" x14ac:dyDescent="0.2">
      <c r="B161" s="530" t="str">
        <f t="shared" si="16"/>
        <v/>
      </c>
      <c r="C161" s="549" t="str">
        <f t="shared" si="12"/>
        <v>-</v>
      </c>
      <c r="D161" s="546" t="str">
        <f t="shared" si="13"/>
        <v>-</v>
      </c>
      <c r="E161" s="546" t="str">
        <f>IF(B161="","-",SUM($D$18:D161))</f>
        <v>-</v>
      </c>
      <c r="F161" s="546" t="str">
        <f t="shared" si="14"/>
        <v>-</v>
      </c>
      <c r="G161" s="546" t="str">
        <f>IF(B161="","-",SUM($F$18:F161))</f>
        <v>-</v>
      </c>
      <c r="H161" s="546" t="str">
        <f t="shared" si="15"/>
        <v>-</v>
      </c>
    </row>
    <row r="162" spans="2:8" x14ac:dyDescent="0.2">
      <c r="B162" s="530" t="str">
        <f t="shared" si="16"/>
        <v/>
      </c>
      <c r="C162" s="546" t="str">
        <f t="shared" si="12"/>
        <v>-</v>
      </c>
      <c r="D162" s="546" t="str">
        <f t="shared" si="13"/>
        <v>-</v>
      </c>
      <c r="E162" s="546" t="str">
        <f>IF(B162="","-",SUM($D$18:D162))</f>
        <v>-</v>
      </c>
      <c r="F162" s="546" t="str">
        <f t="shared" si="14"/>
        <v>-</v>
      </c>
      <c r="G162" s="546" t="str">
        <f>IF(B162="","-",SUM($F$18:F162))</f>
        <v>-</v>
      </c>
      <c r="H162" s="546" t="str">
        <f t="shared" si="15"/>
        <v>-</v>
      </c>
    </row>
    <row r="163" spans="2:8" x14ac:dyDescent="0.2">
      <c r="B163" s="530" t="str">
        <f t="shared" si="16"/>
        <v/>
      </c>
      <c r="C163" s="546" t="str">
        <f t="shared" si="12"/>
        <v>-</v>
      </c>
      <c r="D163" s="546" t="str">
        <f t="shared" si="13"/>
        <v>-</v>
      </c>
      <c r="E163" s="546" t="str">
        <f>IF(B163="","-",SUM($D$18:D163))</f>
        <v>-</v>
      </c>
      <c r="F163" s="546" t="str">
        <f t="shared" si="14"/>
        <v>-</v>
      </c>
      <c r="G163" s="546" t="str">
        <f>IF(B163="","-",SUM($F$18:F163))</f>
        <v>-</v>
      </c>
      <c r="H163" s="546" t="str">
        <f t="shared" si="15"/>
        <v>-</v>
      </c>
    </row>
    <row r="164" spans="2:8" x14ac:dyDescent="0.2">
      <c r="B164" s="530" t="str">
        <f t="shared" si="16"/>
        <v/>
      </c>
      <c r="C164" s="546" t="str">
        <f t="shared" si="12"/>
        <v>-</v>
      </c>
      <c r="D164" s="546" t="str">
        <f t="shared" si="13"/>
        <v>-</v>
      </c>
      <c r="E164" s="546" t="str">
        <f>IF(B164="","-",SUM($D$18:D164))</f>
        <v>-</v>
      </c>
      <c r="F164" s="546" t="str">
        <f t="shared" si="14"/>
        <v>-</v>
      </c>
      <c r="G164" s="546" t="str">
        <f>IF(B164="","-",SUM($F$18:F164))</f>
        <v>-</v>
      </c>
      <c r="H164" s="546" t="str">
        <f t="shared" si="15"/>
        <v>-</v>
      </c>
    </row>
    <row r="165" spans="2:8" x14ac:dyDescent="0.2">
      <c r="B165" s="530" t="str">
        <f t="shared" si="16"/>
        <v/>
      </c>
      <c r="C165" s="546" t="str">
        <f t="shared" si="12"/>
        <v>-</v>
      </c>
      <c r="D165" s="546" t="str">
        <f t="shared" si="13"/>
        <v>-</v>
      </c>
      <c r="E165" s="546" t="str">
        <f>IF(B165="","-",SUM($D$18:D165))</f>
        <v>-</v>
      </c>
      <c r="F165" s="546" t="str">
        <f t="shared" si="14"/>
        <v>-</v>
      </c>
      <c r="G165" s="546" t="str">
        <f>IF(B165="","-",SUM($F$18:F165))</f>
        <v>-</v>
      </c>
      <c r="H165" s="546" t="str">
        <f t="shared" si="15"/>
        <v>-</v>
      </c>
    </row>
    <row r="166" spans="2:8" x14ac:dyDescent="0.2">
      <c r="B166" s="530" t="str">
        <f t="shared" si="16"/>
        <v/>
      </c>
      <c r="C166" s="546" t="str">
        <f t="shared" si="12"/>
        <v>-</v>
      </c>
      <c r="D166" s="546" t="str">
        <f t="shared" si="13"/>
        <v>-</v>
      </c>
      <c r="E166" s="546" t="str">
        <f>IF(B166="","-",SUM($D$18:D166))</f>
        <v>-</v>
      </c>
      <c r="F166" s="546" t="str">
        <f t="shared" si="14"/>
        <v>-</v>
      </c>
      <c r="G166" s="546" t="str">
        <f>IF(B166="","-",SUM($F$18:F166))</f>
        <v>-</v>
      </c>
      <c r="H166" s="546" t="str">
        <f t="shared" si="15"/>
        <v>-</v>
      </c>
    </row>
    <row r="167" spans="2:8" x14ac:dyDescent="0.2">
      <c r="B167" s="530" t="str">
        <f t="shared" si="16"/>
        <v/>
      </c>
      <c r="C167" s="546" t="str">
        <f t="shared" si="12"/>
        <v>-</v>
      </c>
      <c r="D167" s="546" t="str">
        <f t="shared" si="13"/>
        <v>-</v>
      </c>
      <c r="E167" s="546" t="str">
        <f>IF(B167="","-",SUM($D$18:D167))</f>
        <v>-</v>
      </c>
      <c r="F167" s="546" t="str">
        <f t="shared" si="14"/>
        <v>-</v>
      </c>
      <c r="G167" s="546" t="str">
        <f>IF(B167="","-",SUM($F$18:F167))</f>
        <v>-</v>
      </c>
      <c r="H167" s="546" t="str">
        <f t="shared" si="15"/>
        <v>-</v>
      </c>
    </row>
    <row r="168" spans="2:8" x14ac:dyDescent="0.2">
      <c r="B168" s="530" t="str">
        <f t="shared" si="16"/>
        <v/>
      </c>
      <c r="C168" s="546" t="str">
        <f t="shared" si="12"/>
        <v>-</v>
      </c>
      <c r="D168" s="546" t="str">
        <f t="shared" si="13"/>
        <v>-</v>
      </c>
      <c r="E168" s="546" t="str">
        <f>IF(B168="","-",SUM($D$18:D168))</f>
        <v>-</v>
      </c>
      <c r="F168" s="546" t="str">
        <f t="shared" si="14"/>
        <v>-</v>
      </c>
      <c r="G168" s="546" t="str">
        <f>IF(B168="","-",SUM($F$18:F168))</f>
        <v>-</v>
      </c>
      <c r="H168" s="546" t="str">
        <f t="shared" si="15"/>
        <v>-</v>
      </c>
    </row>
    <row r="169" spans="2:8" x14ac:dyDescent="0.2">
      <c r="B169" s="530" t="str">
        <f t="shared" si="16"/>
        <v/>
      </c>
      <c r="C169" s="546" t="str">
        <f t="shared" si="12"/>
        <v>-</v>
      </c>
      <c r="D169" s="546" t="str">
        <f t="shared" si="13"/>
        <v>-</v>
      </c>
      <c r="E169" s="546" t="str">
        <f>IF(B169="","-",SUM($D$18:D169))</f>
        <v>-</v>
      </c>
      <c r="F169" s="546" t="str">
        <f t="shared" si="14"/>
        <v>-</v>
      </c>
      <c r="G169" s="546" t="str">
        <f>IF(B169="","-",SUM($F$18:F169))</f>
        <v>-</v>
      </c>
      <c r="H169" s="546" t="str">
        <f t="shared" si="15"/>
        <v>-</v>
      </c>
    </row>
    <row r="170" spans="2:8" x14ac:dyDescent="0.2">
      <c r="B170" s="530" t="str">
        <f t="shared" si="16"/>
        <v/>
      </c>
      <c r="C170" s="546" t="str">
        <f t="shared" si="12"/>
        <v>-</v>
      </c>
      <c r="D170" s="546" t="str">
        <f t="shared" si="13"/>
        <v>-</v>
      </c>
      <c r="E170" s="546" t="str">
        <f>IF(B170="","-",SUM($D$18:D170))</f>
        <v>-</v>
      </c>
      <c r="F170" s="546" t="str">
        <f t="shared" si="14"/>
        <v>-</v>
      </c>
      <c r="G170" s="546" t="str">
        <f>IF(B170="","-",SUM($F$18:F170))</f>
        <v>-</v>
      </c>
      <c r="H170" s="546" t="str">
        <f t="shared" si="15"/>
        <v>-</v>
      </c>
    </row>
    <row r="171" spans="2:8" x14ac:dyDescent="0.2">
      <c r="B171" s="530" t="str">
        <f t="shared" si="16"/>
        <v/>
      </c>
      <c r="C171" s="546" t="str">
        <f t="shared" si="12"/>
        <v>-</v>
      </c>
      <c r="D171" s="546" t="str">
        <f t="shared" si="13"/>
        <v>-</v>
      </c>
      <c r="E171" s="546" t="str">
        <f>IF(B171="","-",SUM($D$18:D171))</f>
        <v>-</v>
      </c>
      <c r="F171" s="546" t="str">
        <f t="shared" si="14"/>
        <v>-</v>
      </c>
      <c r="G171" s="546" t="str">
        <f>IF(B171="","-",SUM($F$18:F171))</f>
        <v>-</v>
      </c>
      <c r="H171" s="546" t="str">
        <f t="shared" si="15"/>
        <v>-</v>
      </c>
    </row>
    <row r="172" spans="2:8" x14ac:dyDescent="0.2">
      <c r="B172" s="530" t="str">
        <f t="shared" si="16"/>
        <v/>
      </c>
      <c r="C172" s="546" t="str">
        <f t="shared" si="12"/>
        <v>-</v>
      </c>
      <c r="D172" s="546" t="str">
        <f t="shared" si="13"/>
        <v>-</v>
      </c>
      <c r="E172" s="546" t="str">
        <f>IF(B172="","-",SUM($D$18:D172))</f>
        <v>-</v>
      </c>
      <c r="F172" s="546" t="str">
        <f t="shared" si="14"/>
        <v>-</v>
      </c>
      <c r="G172" s="546" t="str">
        <f>IF(B172="","-",SUM($F$18:F172))</f>
        <v>-</v>
      </c>
      <c r="H172" s="546" t="str">
        <f t="shared" si="15"/>
        <v>-</v>
      </c>
    </row>
    <row r="173" spans="2:8" x14ac:dyDescent="0.2">
      <c r="B173" s="530" t="str">
        <f t="shared" si="16"/>
        <v/>
      </c>
      <c r="C173" s="549" t="str">
        <f t="shared" si="12"/>
        <v>-</v>
      </c>
      <c r="D173" s="546" t="str">
        <f t="shared" si="13"/>
        <v>-</v>
      </c>
      <c r="E173" s="546" t="str">
        <f>IF(B173="","-",SUM($D$18:D173))</f>
        <v>-</v>
      </c>
      <c r="F173" s="546" t="str">
        <f t="shared" si="14"/>
        <v>-</v>
      </c>
      <c r="G173" s="546" t="str">
        <f>IF(B173="","-",SUM($F$18:F173))</f>
        <v>-</v>
      </c>
      <c r="H173" s="546" t="str">
        <f t="shared" si="15"/>
        <v>-</v>
      </c>
    </row>
    <row r="174" spans="2:8" x14ac:dyDescent="0.2">
      <c r="B174" s="530" t="str">
        <f t="shared" si="16"/>
        <v/>
      </c>
      <c r="C174" s="546" t="str">
        <f t="shared" si="12"/>
        <v>-</v>
      </c>
      <c r="D174" s="546" t="str">
        <f t="shared" si="13"/>
        <v>-</v>
      </c>
      <c r="E174" s="546" t="str">
        <f>IF(B174="","-",SUM($D$18:D174))</f>
        <v>-</v>
      </c>
      <c r="F174" s="546" t="str">
        <f t="shared" si="14"/>
        <v>-</v>
      </c>
      <c r="G174" s="546" t="str">
        <f>IF(B174="","-",SUM($F$18:F174))</f>
        <v>-</v>
      </c>
      <c r="H174" s="546" t="str">
        <f t="shared" si="15"/>
        <v>-</v>
      </c>
    </row>
    <row r="175" spans="2:8" x14ac:dyDescent="0.2">
      <c r="B175" s="530" t="str">
        <f t="shared" si="16"/>
        <v/>
      </c>
      <c r="C175" s="546" t="str">
        <f t="shared" si="12"/>
        <v>-</v>
      </c>
      <c r="D175" s="546" t="str">
        <f t="shared" si="13"/>
        <v>-</v>
      </c>
      <c r="E175" s="546" t="str">
        <f>IF(B175="","-",SUM($D$18:D175))</f>
        <v>-</v>
      </c>
      <c r="F175" s="546" t="str">
        <f t="shared" si="14"/>
        <v>-</v>
      </c>
      <c r="G175" s="546" t="str">
        <f>IF(B175="","-",SUM($F$18:F175))</f>
        <v>-</v>
      </c>
      <c r="H175" s="546" t="str">
        <f t="shared" si="15"/>
        <v>-</v>
      </c>
    </row>
    <row r="176" spans="2:8" x14ac:dyDescent="0.2">
      <c r="B176" s="530" t="str">
        <f t="shared" si="16"/>
        <v/>
      </c>
      <c r="C176" s="546" t="str">
        <f t="shared" si="12"/>
        <v>-</v>
      </c>
      <c r="D176" s="546" t="str">
        <f t="shared" si="13"/>
        <v>-</v>
      </c>
      <c r="E176" s="546" t="str">
        <f>IF(B176="","-",SUM($D$18:D176))</f>
        <v>-</v>
      </c>
      <c r="F176" s="546" t="str">
        <f t="shared" si="14"/>
        <v>-</v>
      </c>
      <c r="G176" s="546" t="str">
        <f>IF(B176="","-",SUM($F$18:F176))</f>
        <v>-</v>
      </c>
      <c r="H176" s="546" t="str">
        <f t="shared" si="15"/>
        <v>-</v>
      </c>
    </row>
    <row r="177" spans="2:8" x14ac:dyDescent="0.2">
      <c r="B177" s="530" t="str">
        <f t="shared" si="16"/>
        <v/>
      </c>
      <c r="C177" s="546" t="str">
        <f t="shared" si="12"/>
        <v>-</v>
      </c>
      <c r="D177" s="546" t="str">
        <f t="shared" si="13"/>
        <v>-</v>
      </c>
      <c r="E177" s="546" t="str">
        <f>IF(B177="","-",SUM($D$18:D177))</f>
        <v>-</v>
      </c>
      <c r="F177" s="546" t="str">
        <f t="shared" si="14"/>
        <v>-</v>
      </c>
      <c r="G177" s="546" t="str">
        <f>IF(B177="","-",SUM($F$18:F177))</f>
        <v>-</v>
      </c>
      <c r="H177" s="546" t="str">
        <f t="shared" si="15"/>
        <v>-</v>
      </c>
    </row>
    <row r="178" spans="2:8" x14ac:dyDescent="0.2">
      <c r="B178" s="530" t="str">
        <f t="shared" si="16"/>
        <v/>
      </c>
      <c r="C178" s="546" t="str">
        <f t="shared" si="12"/>
        <v>-</v>
      </c>
      <c r="D178" s="546" t="str">
        <f t="shared" si="13"/>
        <v>-</v>
      </c>
      <c r="E178" s="546" t="str">
        <f>IF(B178="","-",SUM($D$18:D178))</f>
        <v>-</v>
      </c>
      <c r="F178" s="546" t="str">
        <f t="shared" si="14"/>
        <v>-</v>
      </c>
      <c r="G178" s="546" t="str">
        <f>IF(B178="","-",SUM($F$18:F178))</f>
        <v>-</v>
      </c>
      <c r="H178" s="546" t="str">
        <f t="shared" si="15"/>
        <v>-</v>
      </c>
    </row>
    <row r="179" spans="2:8" x14ac:dyDescent="0.2">
      <c r="B179" s="530" t="str">
        <f t="shared" si="16"/>
        <v/>
      </c>
      <c r="C179" s="546" t="str">
        <f t="shared" si="12"/>
        <v>-</v>
      </c>
      <c r="D179" s="546" t="str">
        <f t="shared" si="13"/>
        <v>-</v>
      </c>
      <c r="E179" s="546" t="str">
        <f>IF(B179="","-",SUM($D$18:D179))</f>
        <v>-</v>
      </c>
      <c r="F179" s="546" t="str">
        <f t="shared" si="14"/>
        <v>-</v>
      </c>
      <c r="G179" s="546" t="str">
        <f>IF(B179="","-",SUM($F$18:F179))</f>
        <v>-</v>
      </c>
      <c r="H179" s="546" t="str">
        <f t="shared" si="15"/>
        <v>-</v>
      </c>
    </row>
    <row r="180" spans="2:8" x14ac:dyDescent="0.2">
      <c r="B180" s="530" t="str">
        <f t="shared" si="16"/>
        <v/>
      </c>
      <c r="C180" s="546" t="str">
        <f t="shared" si="12"/>
        <v>-</v>
      </c>
      <c r="D180" s="546" t="str">
        <f t="shared" si="13"/>
        <v>-</v>
      </c>
      <c r="E180" s="546" t="str">
        <f>IF(B180="","-",SUM($D$18:D180))</f>
        <v>-</v>
      </c>
      <c r="F180" s="546" t="str">
        <f t="shared" si="14"/>
        <v>-</v>
      </c>
      <c r="G180" s="546" t="str">
        <f>IF(B180="","-",SUM($F$18:F180))</f>
        <v>-</v>
      </c>
      <c r="H180" s="546" t="str">
        <f t="shared" si="15"/>
        <v>-</v>
      </c>
    </row>
    <row r="181" spans="2:8" x14ac:dyDescent="0.2">
      <c r="B181" s="530" t="str">
        <f t="shared" si="16"/>
        <v/>
      </c>
      <c r="C181" s="546" t="str">
        <f t="shared" si="12"/>
        <v>-</v>
      </c>
      <c r="D181" s="546" t="str">
        <f t="shared" si="13"/>
        <v>-</v>
      </c>
      <c r="E181" s="546" t="str">
        <f>IF(B181="","-",SUM($D$18:D181))</f>
        <v>-</v>
      </c>
      <c r="F181" s="546" t="str">
        <f t="shared" si="14"/>
        <v>-</v>
      </c>
      <c r="G181" s="546" t="str">
        <f>IF(B181="","-",SUM($F$18:F181))</f>
        <v>-</v>
      </c>
      <c r="H181" s="546" t="str">
        <f t="shared" si="15"/>
        <v>-</v>
      </c>
    </row>
    <row r="182" spans="2:8" x14ac:dyDescent="0.2">
      <c r="B182" s="530" t="str">
        <f t="shared" si="16"/>
        <v/>
      </c>
      <c r="C182" s="546" t="str">
        <f t="shared" si="12"/>
        <v>-</v>
      </c>
      <c r="D182" s="546" t="str">
        <f t="shared" si="13"/>
        <v>-</v>
      </c>
      <c r="E182" s="546" t="str">
        <f>IF(B182="","-",SUM($D$18:D182))</f>
        <v>-</v>
      </c>
      <c r="F182" s="546" t="str">
        <f t="shared" si="14"/>
        <v>-</v>
      </c>
      <c r="G182" s="546" t="str">
        <f>IF(B182="","-",SUM($F$18:F182))</f>
        <v>-</v>
      </c>
      <c r="H182" s="546" t="str">
        <f t="shared" si="15"/>
        <v>-</v>
      </c>
    </row>
    <row r="183" spans="2:8" x14ac:dyDescent="0.2">
      <c r="B183" s="530" t="str">
        <f t="shared" si="16"/>
        <v/>
      </c>
      <c r="C183" s="546" t="str">
        <f t="shared" si="12"/>
        <v>-</v>
      </c>
      <c r="D183" s="546" t="str">
        <f t="shared" si="13"/>
        <v>-</v>
      </c>
      <c r="E183" s="546" t="str">
        <f>IF(B183="","-",SUM($D$18:D183))</f>
        <v>-</v>
      </c>
      <c r="F183" s="546" t="str">
        <f t="shared" si="14"/>
        <v>-</v>
      </c>
      <c r="G183" s="546" t="str">
        <f>IF(B183="","-",SUM($F$18:F183))</f>
        <v>-</v>
      </c>
      <c r="H183" s="546" t="str">
        <f t="shared" si="15"/>
        <v>-</v>
      </c>
    </row>
    <row r="184" spans="2:8" x14ac:dyDescent="0.2">
      <c r="B184" s="530" t="str">
        <f t="shared" si="16"/>
        <v/>
      </c>
      <c r="C184" s="546" t="str">
        <f t="shared" si="12"/>
        <v>-</v>
      </c>
      <c r="D184" s="546" t="str">
        <f t="shared" si="13"/>
        <v>-</v>
      </c>
      <c r="E184" s="546" t="str">
        <f>IF(B184="","-",SUM($D$18:D184))</f>
        <v>-</v>
      </c>
      <c r="F184" s="546" t="str">
        <f t="shared" si="14"/>
        <v>-</v>
      </c>
      <c r="G184" s="546" t="str">
        <f>IF(B184="","-",SUM($F$18:F184))</f>
        <v>-</v>
      </c>
      <c r="H184" s="546" t="str">
        <f t="shared" si="15"/>
        <v>-</v>
      </c>
    </row>
    <row r="185" spans="2:8" x14ac:dyDescent="0.2">
      <c r="B185" s="530" t="str">
        <f t="shared" si="16"/>
        <v/>
      </c>
      <c r="C185" s="549" t="str">
        <f t="shared" si="12"/>
        <v>-</v>
      </c>
      <c r="D185" s="546" t="str">
        <f t="shared" si="13"/>
        <v>-</v>
      </c>
      <c r="E185" s="546" t="str">
        <f>IF(B185="","-",SUM($D$18:D185))</f>
        <v>-</v>
      </c>
      <c r="F185" s="546" t="str">
        <f t="shared" si="14"/>
        <v>-</v>
      </c>
      <c r="G185" s="546" t="str">
        <f>IF(B185="","-",SUM($F$18:F185))</f>
        <v>-</v>
      </c>
      <c r="H185" s="546" t="str">
        <f t="shared" si="15"/>
        <v>-</v>
      </c>
    </row>
    <row r="186" spans="2:8" x14ac:dyDescent="0.2">
      <c r="B186" s="530" t="str">
        <f t="shared" si="16"/>
        <v/>
      </c>
      <c r="C186" s="546" t="str">
        <f t="shared" si="12"/>
        <v>-</v>
      </c>
      <c r="D186" s="546" t="str">
        <f t="shared" si="13"/>
        <v>-</v>
      </c>
      <c r="E186" s="546" t="str">
        <f>IF(B186="","-",SUM($D$18:D186))</f>
        <v>-</v>
      </c>
      <c r="F186" s="546" t="str">
        <f t="shared" si="14"/>
        <v>-</v>
      </c>
      <c r="G186" s="546" t="str">
        <f>IF(B186="","-",SUM($F$18:F186))</f>
        <v>-</v>
      </c>
      <c r="H186" s="546" t="str">
        <f t="shared" si="15"/>
        <v>-</v>
      </c>
    </row>
    <row r="187" spans="2:8" x14ac:dyDescent="0.2">
      <c r="B187" s="530" t="str">
        <f t="shared" si="16"/>
        <v/>
      </c>
      <c r="C187" s="546" t="str">
        <f t="shared" si="12"/>
        <v>-</v>
      </c>
      <c r="D187" s="546" t="str">
        <f t="shared" si="13"/>
        <v>-</v>
      </c>
      <c r="E187" s="546" t="str">
        <f>IF(B187="","-",SUM($D$18:D187))</f>
        <v>-</v>
      </c>
      <c r="F187" s="546" t="str">
        <f t="shared" si="14"/>
        <v>-</v>
      </c>
      <c r="G187" s="546" t="str">
        <f>IF(B187="","-",SUM($F$18:F187))</f>
        <v>-</v>
      </c>
      <c r="H187" s="546" t="str">
        <f t="shared" si="15"/>
        <v>-</v>
      </c>
    </row>
    <row r="188" spans="2:8" x14ac:dyDescent="0.2">
      <c r="B188" s="530" t="str">
        <f t="shared" si="16"/>
        <v/>
      </c>
      <c r="C188" s="546" t="str">
        <f t="shared" si="12"/>
        <v>-</v>
      </c>
      <c r="D188" s="546" t="str">
        <f t="shared" si="13"/>
        <v>-</v>
      </c>
      <c r="E188" s="546" t="str">
        <f>IF(B188="","-",SUM($D$18:D188))</f>
        <v>-</v>
      </c>
      <c r="F188" s="546" t="str">
        <f t="shared" si="14"/>
        <v>-</v>
      </c>
      <c r="G188" s="546" t="str">
        <f>IF(B188="","-",SUM($F$18:F188))</f>
        <v>-</v>
      </c>
      <c r="H188" s="546" t="str">
        <f t="shared" si="15"/>
        <v>-</v>
      </c>
    </row>
    <row r="189" spans="2:8" x14ac:dyDescent="0.2">
      <c r="B189" s="530" t="str">
        <f t="shared" si="16"/>
        <v/>
      </c>
      <c r="C189" s="546" t="str">
        <f t="shared" si="12"/>
        <v>-</v>
      </c>
      <c r="D189" s="546" t="str">
        <f t="shared" si="13"/>
        <v>-</v>
      </c>
      <c r="E189" s="546" t="str">
        <f>IF(B189="","-",SUM($D$18:D189))</f>
        <v>-</v>
      </c>
      <c r="F189" s="546" t="str">
        <f t="shared" si="14"/>
        <v>-</v>
      </c>
      <c r="G189" s="546" t="str">
        <f>IF(B189="","-",SUM($F$18:F189))</f>
        <v>-</v>
      </c>
      <c r="H189" s="546" t="str">
        <f t="shared" si="15"/>
        <v>-</v>
      </c>
    </row>
    <row r="190" spans="2:8" x14ac:dyDescent="0.2">
      <c r="B190" s="530" t="str">
        <f t="shared" si="16"/>
        <v/>
      </c>
      <c r="C190" s="546" t="str">
        <f t="shared" si="12"/>
        <v>-</v>
      </c>
      <c r="D190" s="546" t="str">
        <f t="shared" si="13"/>
        <v>-</v>
      </c>
      <c r="E190" s="546" t="str">
        <f>IF(B190="","-",SUM($D$18:D190))</f>
        <v>-</v>
      </c>
      <c r="F190" s="546" t="str">
        <f t="shared" si="14"/>
        <v>-</v>
      </c>
      <c r="G190" s="546" t="str">
        <f>IF(B190="","-",SUM($F$18:F190))</f>
        <v>-</v>
      </c>
      <c r="H190" s="546" t="str">
        <f t="shared" si="15"/>
        <v>-</v>
      </c>
    </row>
    <row r="191" spans="2:8" x14ac:dyDescent="0.2">
      <c r="B191" s="530" t="str">
        <f t="shared" si="16"/>
        <v/>
      </c>
      <c r="C191" s="546" t="str">
        <f t="shared" si="12"/>
        <v>-</v>
      </c>
      <c r="D191" s="546" t="str">
        <f t="shared" si="13"/>
        <v>-</v>
      </c>
      <c r="E191" s="546" t="str">
        <f>IF(B191="","-",SUM($D$18:D191))</f>
        <v>-</v>
      </c>
      <c r="F191" s="546" t="str">
        <f t="shared" si="14"/>
        <v>-</v>
      </c>
      <c r="G191" s="546" t="str">
        <f>IF(B191="","-",SUM($F$18:F191))</f>
        <v>-</v>
      </c>
      <c r="H191" s="546" t="str">
        <f t="shared" si="15"/>
        <v>-</v>
      </c>
    </row>
    <row r="192" spans="2:8" x14ac:dyDescent="0.2">
      <c r="B192" s="530" t="str">
        <f t="shared" si="16"/>
        <v/>
      </c>
      <c r="C192" s="546" t="str">
        <f t="shared" si="12"/>
        <v>-</v>
      </c>
      <c r="D192" s="546" t="str">
        <f t="shared" si="13"/>
        <v>-</v>
      </c>
      <c r="E192" s="546" t="str">
        <f>IF(B192="","-",SUM($D$18:D192))</f>
        <v>-</v>
      </c>
      <c r="F192" s="546" t="str">
        <f t="shared" si="14"/>
        <v>-</v>
      </c>
      <c r="G192" s="546" t="str">
        <f>IF(B192="","-",SUM($F$18:F192))</f>
        <v>-</v>
      </c>
      <c r="H192" s="546" t="str">
        <f t="shared" si="15"/>
        <v>-</v>
      </c>
    </row>
    <row r="193" spans="2:8" x14ac:dyDescent="0.2">
      <c r="B193" s="530" t="str">
        <f t="shared" si="16"/>
        <v/>
      </c>
      <c r="C193" s="546" t="str">
        <f t="shared" si="12"/>
        <v>-</v>
      </c>
      <c r="D193" s="546" t="str">
        <f t="shared" si="13"/>
        <v>-</v>
      </c>
      <c r="E193" s="546" t="str">
        <f>IF(B193="","-",SUM($D$18:D193))</f>
        <v>-</v>
      </c>
      <c r="F193" s="546" t="str">
        <f t="shared" si="14"/>
        <v>-</v>
      </c>
      <c r="G193" s="546" t="str">
        <f>IF(B193="","-",SUM($F$18:F193))</f>
        <v>-</v>
      </c>
      <c r="H193" s="546" t="str">
        <f t="shared" si="15"/>
        <v>-</v>
      </c>
    </row>
    <row r="194" spans="2:8" x14ac:dyDescent="0.2">
      <c r="B194" s="530" t="str">
        <f t="shared" si="16"/>
        <v/>
      </c>
      <c r="C194" s="546" t="str">
        <f t="shared" si="12"/>
        <v>-</v>
      </c>
      <c r="D194" s="546" t="str">
        <f t="shared" si="13"/>
        <v>-</v>
      </c>
      <c r="E194" s="546" t="str">
        <f>IF(B194="","-",SUM($D$18:D194))</f>
        <v>-</v>
      </c>
      <c r="F194" s="546" t="str">
        <f t="shared" si="14"/>
        <v>-</v>
      </c>
      <c r="G194" s="546" t="str">
        <f>IF(B194="","-",SUM($F$18:F194))</f>
        <v>-</v>
      </c>
      <c r="H194" s="546" t="str">
        <f t="shared" si="15"/>
        <v>-</v>
      </c>
    </row>
    <row r="195" spans="2:8" x14ac:dyDescent="0.2">
      <c r="B195" s="530" t="str">
        <f t="shared" si="16"/>
        <v/>
      </c>
      <c r="C195" s="546" t="str">
        <f t="shared" si="12"/>
        <v>-</v>
      </c>
      <c r="D195" s="546" t="str">
        <f t="shared" si="13"/>
        <v>-</v>
      </c>
      <c r="E195" s="546" t="str">
        <f>IF(B195="","-",SUM($D$18:D195))</f>
        <v>-</v>
      </c>
      <c r="F195" s="546" t="str">
        <f t="shared" si="14"/>
        <v>-</v>
      </c>
      <c r="G195" s="546" t="str">
        <f>IF(B195="","-",SUM($F$18:F195))</f>
        <v>-</v>
      </c>
      <c r="H195" s="546" t="str">
        <f t="shared" si="15"/>
        <v>-</v>
      </c>
    </row>
    <row r="196" spans="2:8" x14ac:dyDescent="0.2">
      <c r="B196" s="530" t="str">
        <f t="shared" si="16"/>
        <v/>
      </c>
      <c r="C196" s="546" t="str">
        <f t="shared" si="12"/>
        <v>-</v>
      </c>
      <c r="D196" s="546" t="str">
        <f t="shared" si="13"/>
        <v>-</v>
      </c>
      <c r="E196" s="546" t="str">
        <f>IF(B196="","-",SUM($D$18:D196))</f>
        <v>-</v>
      </c>
      <c r="F196" s="546" t="str">
        <f t="shared" si="14"/>
        <v>-</v>
      </c>
      <c r="G196" s="546" t="str">
        <f>IF(B196="","-",SUM($F$18:F196))</f>
        <v>-</v>
      </c>
      <c r="H196" s="546" t="str">
        <f t="shared" si="15"/>
        <v>-</v>
      </c>
    </row>
    <row r="197" spans="2:8" x14ac:dyDescent="0.2">
      <c r="B197" s="530" t="str">
        <f t="shared" si="16"/>
        <v/>
      </c>
      <c r="C197" s="549" t="str">
        <f t="shared" si="12"/>
        <v>-</v>
      </c>
      <c r="D197" s="546" t="str">
        <f t="shared" si="13"/>
        <v>-</v>
      </c>
      <c r="E197" s="546" t="str">
        <f>IF(B197="","-",SUM($D$18:D197))</f>
        <v>-</v>
      </c>
      <c r="F197" s="546" t="str">
        <f t="shared" si="14"/>
        <v>-</v>
      </c>
      <c r="G197" s="546" t="str">
        <f>IF(B197="","-",SUM($F$18:F197))</f>
        <v>-</v>
      </c>
      <c r="H197" s="546" t="str">
        <f t="shared" si="15"/>
        <v>-</v>
      </c>
    </row>
    <row r="198" spans="2:8" x14ac:dyDescent="0.2">
      <c r="B198" s="530" t="str">
        <f t="shared" si="16"/>
        <v/>
      </c>
      <c r="C198" s="546" t="str">
        <f t="shared" si="12"/>
        <v>-</v>
      </c>
      <c r="D198" s="546" t="str">
        <f t="shared" si="13"/>
        <v>-</v>
      </c>
      <c r="E198" s="546" t="str">
        <f>IF(B198="","-",SUM($D$18:D198))</f>
        <v>-</v>
      </c>
      <c r="F198" s="546" t="str">
        <f t="shared" si="14"/>
        <v>-</v>
      </c>
      <c r="G198" s="546" t="str">
        <f>IF(B198="","-",SUM($F$18:F198))</f>
        <v>-</v>
      </c>
      <c r="H198" s="546" t="str">
        <f t="shared" si="15"/>
        <v>-</v>
      </c>
    </row>
    <row r="199" spans="2:8" x14ac:dyDescent="0.2">
      <c r="B199" s="530" t="str">
        <f t="shared" si="16"/>
        <v/>
      </c>
      <c r="C199" s="546" t="str">
        <f t="shared" si="12"/>
        <v>-</v>
      </c>
      <c r="D199" s="546" t="str">
        <f t="shared" si="13"/>
        <v>-</v>
      </c>
      <c r="E199" s="546" t="str">
        <f>IF(B199="","-",SUM($D$18:D199))</f>
        <v>-</v>
      </c>
      <c r="F199" s="546" t="str">
        <f t="shared" si="14"/>
        <v>-</v>
      </c>
      <c r="G199" s="546" t="str">
        <f>IF(B199="","-",SUM($F$18:F199))</f>
        <v>-</v>
      </c>
      <c r="H199" s="546" t="str">
        <f t="shared" si="15"/>
        <v>-</v>
      </c>
    </row>
    <row r="200" spans="2:8" x14ac:dyDescent="0.2">
      <c r="B200" s="530" t="str">
        <f t="shared" si="16"/>
        <v/>
      </c>
      <c r="C200" s="546" t="str">
        <f t="shared" si="12"/>
        <v>-</v>
      </c>
      <c r="D200" s="546" t="str">
        <f t="shared" si="13"/>
        <v>-</v>
      </c>
      <c r="E200" s="546" t="str">
        <f>IF(B200="","-",SUM($D$18:D200))</f>
        <v>-</v>
      </c>
      <c r="F200" s="546" t="str">
        <f t="shared" si="14"/>
        <v>-</v>
      </c>
      <c r="G200" s="546" t="str">
        <f>IF(B200="","-",SUM($F$18:F200))</f>
        <v>-</v>
      </c>
      <c r="H200" s="546" t="str">
        <f t="shared" si="15"/>
        <v>-</v>
      </c>
    </row>
    <row r="201" spans="2:8" x14ac:dyDescent="0.2">
      <c r="B201" s="530" t="str">
        <f t="shared" si="16"/>
        <v/>
      </c>
      <c r="C201" s="546" t="str">
        <f t="shared" si="12"/>
        <v>-</v>
      </c>
      <c r="D201" s="546" t="str">
        <f t="shared" si="13"/>
        <v>-</v>
      </c>
      <c r="E201" s="546" t="str">
        <f>IF(B201="","-",SUM($D$18:D201))</f>
        <v>-</v>
      </c>
      <c r="F201" s="546" t="str">
        <f t="shared" si="14"/>
        <v>-</v>
      </c>
      <c r="G201" s="546" t="str">
        <f>IF(B201="","-",SUM($F$18:F201))</f>
        <v>-</v>
      </c>
      <c r="H201" s="546" t="str">
        <f t="shared" si="15"/>
        <v>-</v>
      </c>
    </row>
    <row r="202" spans="2:8" x14ac:dyDescent="0.2">
      <c r="B202" s="530" t="str">
        <f t="shared" si="16"/>
        <v/>
      </c>
      <c r="C202" s="546" t="str">
        <f t="shared" si="12"/>
        <v>-</v>
      </c>
      <c r="D202" s="546" t="str">
        <f t="shared" si="13"/>
        <v>-</v>
      </c>
      <c r="E202" s="546" t="str">
        <f>IF(B202="","-",SUM($D$18:D202))</f>
        <v>-</v>
      </c>
      <c r="F202" s="546" t="str">
        <f t="shared" si="14"/>
        <v>-</v>
      </c>
      <c r="G202" s="546" t="str">
        <f>IF(B202="","-",SUM($F$18:F202))</f>
        <v>-</v>
      </c>
      <c r="H202" s="546" t="str">
        <f t="shared" si="15"/>
        <v>-</v>
      </c>
    </row>
    <row r="203" spans="2:8" x14ac:dyDescent="0.2">
      <c r="B203" s="530" t="str">
        <f t="shared" si="16"/>
        <v/>
      </c>
      <c r="C203" s="546" t="str">
        <f t="shared" si="12"/>
        <v>-</v>
      </c>
      <c r="D203" s="546" t="str">
        <f t="shared" si="13"/>
        <v>-</v>
      </c>
      <c r="E203" s="546" t="str">
        <f>IF(B203="","-",SUM($D$18:D203))</f>
        <v>-</v>
      </c>
      <c r="F203" s="546" t="str">
        <f t="shared" si="14"/>
        <v>-</v>
      </c>
      <c r="G203" s="546" t="str">
        <f>IF(B203="","-",SUM($F$18:F203))</f>
        <v>-</v>
      </c>
      <c r="H203" s="546" t="str">
        <f t="shared" si="15"/>
        <v>-</v>
      </c>
    </row>
    <row r="204" spans="2:8" x14ac:dyDescent="0.2">
      <c r="B204" s="530" t="str">
        <f t="shared" si="16"/>
        <v/>
      </c>
      <c r="C204" s="546" t="str">
        <f t="shared" si="12"/>
        <v>-</v>
      </c>
      <c r="D204" s="546" t="str">
        <f t="shared" si="13"/>
        <v>-</v>
      </c>
      <c r="E204" s="546" t="str">
        <f>IF(B204="","-",SUM($D$18:D204))</f>
        <v>-</v>
      </c>
      <c r="F204" s="546" t="str">
        <f t="shared" si="14"/>
        <v>-</v>
      </c>
      <c r="G204" s="546" t="str">
        <f>IF(B204="","-",SUM($F$18:F204))</f>
        <v>-</v>
      </c>
      <c r="H204" s="546" t="str">
        <f t="shared" si="15"/>
        <v>-</v>
      </c>
    </row>
    <row r="205" spans="2:8" x14ac:dyDescent="0.2">
      <c r="B205" s="530" t="str">
        <f t="shared" si="16"/>
        <v/>
      </c>
      <c r="C205" s="546" t="str">
        <f t="shared" si="12"/>
        <v>-</v>
      </c>
      <c r="D205" s="546" t="str">
        <f t="shared" si="13"/>
        <v>-</v>
      </c>
      <c r="E205" s="546" t="str">
        <f>IF(B205="","-",SUM($D$18:D205))</f>
        <v>-</v>
      </c>
      <c r="F205" s="546" t="str">
        <f t="shared" si="14"/>
        <v>-</v>
      </c>
      <c r="G205" s="546" t="str">
        <f>IF(B205="","-",SUM($F$18:F205))</f>
        <v>-</v>
      </c>
      <c r="H205" s="546" t="str">
        <f t="shared" si="15"/>
        <v>-</v>
      </c>
    </row>
    <row r="206" spans="2:8" x14ac:dyDescent="0.2">
      <c r="B206" s="530" t="str">
        <f t="shared" si="16"/>
        <v/>
      </c>
      <c r="C206" s="546" t="str">
        <f t="shared" si="12"/>
        <v>-</v>
      </c>
      <c r="D206" s="546" t="str">
        <f t="shared" si="13"/>
        <v>-</v>
      </c>
      <c r="E206" s="546" t="str">
        <f>IF(B206="","-",SUM($D$18:D206))</f>
        <v>-</v>
      </c>
      <c r="F206" s="546" t="str">
        <f t="shared" si="14"/>
        <v>-</v>
      </c>
      <c r="G206" s="546" t="str">
        <f>IF(B206="","-",SUM($F$18:F206))</f>
        <v>-</v>
      </c>
      <c r="H206" s="546" t="str">
        <f t="shared" si="15"/>
        <v>-</v>
      </c>
    </row>
    <row r="207" spans="2:8" x14ac:dyDescent="0.2">
      <c r="B207" s="530" t="str">
        <f t="shared" si="16"/>
        <v/>
      </c>
      <c r="C207" s="546" t="str">
        <f t="shared" si="12"/>
        <v>-</v>
      </c>
      <c r="D207" s="546" t="str">
        <f t="shared" si="13"/>
        <v>-</v>
      </c>
      <c r="E207" s="546" t="str">
        <f>IF(B207="","-",SUM($D$18:D207))</f>
        <v>-</v>
      </c>
      <c r="F207" s="546" t="str">
        <f t="shared" si="14"/>
        <v>-</v>
      </c>
      <c r="G207" s="546" t="str">
        <f>IF(B207="","-",SUM($F$18:F207))</f>
        <v>-</v>
      </c>
      <c r="H207" s="546" t="str">
        <f t="shared" si="15"/>
        <v>-</v>
      </c>
    </row>
    <row r="208" spans="2:8" x14ac:dyDescent="0.2">
      <c r="B208" s="530" t="str">
        <f t="shared" si="16"/>
        <v/>
      </c>
      <c r="C208" s="546" t="str">
        <f t="shared" si="12"/>
        <v>-</v>
      </c>
      <c r="D208" s="546" t="str">
        <f t="shared" si="13"/>
        <v>-</v>
      </c>
      <c r="E208" s="546" t="str">
        <f>IF(B208="","-",SUM($D$18:D208))</f>
        <v>-</v>
      </c>
      <c r="F208" s="546" t="str">
        <f t="shared" si="14"/>
        <v>-</v>
      </c>
      <c r="G208" s="546" t="str">
        <f>IF(B208="","-",SUM($F$18:F208))</f>
        <v>-</v>
      </c>
      <c r="H208" s="546" t="str">
        <f t="shared" si="15"/>
        <v>-</v>
      </c>
    </row>
    <row r="209" spans="2:8" x14ac:dyDescent="0.2">
      <c r="B209" s="530" t="str">
        <f t="shared" si="16"/>
        <v/>
      </c>
      <c r="C209" s="549" t="str">
        <f t="shared" si="12"/>
        <v>-</v>
      </c>
      <c r="D209" s="546" t="str">
        <f t="shared" si="13"/>
        <v>-</v>
      </c>
      <c r="E209" s="546" t="str">
        <f>IF(B209="","-",SUM($D$18:D209))</f>
        <v>-</v>
      </c>
      <c r="F209" s="546" t="str">
        <f t="shared" si="14"/>
        <v>-</v>
      </c>
      <c r="G209" s="546" t="str">
        <f>IF(B209="","-",SUM($F$18:F209))</f>
        <v>-</v>
      </c>
      <c r="H209" s="546" t="str">
        <f t="shared" si="15"/>
        <v>-</v>
      </c>
    </row>
    <row r="210" spans="2:8" x14ac:dyDescent="0.2">
      <c r="B210" s="530" t="str">
        <f t="shared" si="16"/>
        <v/>
      </c>
      <c r="C210" s="546" t="str">
        <f t="shared" ref="C210:C257" si="17">IF(B210="","-",IF(B210&lt;=$D$6,D210,  $D$7))</f>
        <v>-</v>
      </c>
      <c r="D210" s="546" t="str">
        <f t="shared" ref="D210:D273" si="18">IF(B210="","-",$D$4/12*H209)</f>
        <v>-</v>
      </c>
      <c r="E210" s="546" t="str">
        <f>IF(B210="","-",SUM($D$18:D210))</f>
        <v>-</v>
      </c>
      <c r="F210" s="546" t="str">
        <f t="shared" ref="F210:F273" si="19">IF(B210="","-",C210-D210)</f>
        <v>-</v>
      </c>
      <c r="G210" s="546" t="str">
        <f>IF(B210="","-",SUM($F$18:F210))</f>
        <v>-</v>
      </c>
      <c r="H210" s="546" t="str">
        <f t="shared" ref="H210:H273" si="20">IF(B210="","-",H209-F210)</f>
        <v>-</v>
      </c>
    </row>
    <row r="211" spans="2:8" x14ac:dyDescent="0.2">
      <c r="B211" s="530" t="str">
        <f t="shared" si="16"/>
        <v/>
      </c>
      <c r="C211" s="546" t="str">
        <f t="shared" si="17"/>
        <v>-</v>
      </c>
      <c r="D211" s="546" t="str">
        <f t="shared" si="18"/>
        <v>-</v>
      </c>
      <c r="E211" s="546" t="str">
        <f>IF(B211="","-",SUM($D$18:D211))</f>
        <v>-</v>
      </c>
      <c r="F211" s="546" t="str">
        <f t="shared" si="19"/>
        <v>-</v>
      </c>
      <c r="G211" s="546" t="str">
        <f>IF(B211="","-",SUM($F$18:F211))</f>
        <v>-</v>
      </c>
      <c r="H211" s="546" t="str">
        <f t="shared" si="20"/>
        <v>-</v>
      </c>
    </row>
    <row r="212" spans="2:8" x14ac:dyDescent="0.2">
      <c r="B212" s="530" t="str">
        <f t="shared" si="16"/>
        <v/>
      </c>
      <c r="C212" s="546" t="str">
        <f t="shared" si="17"/>
        <v>-</v>
      </c>
      <c r="D212" s="546" t="str">
        <f t="shared" si="18"/>
        <v>-</v>
      </c>
      <c r="E212" s="546" t="str">
        <f>IF(B212="","-",SUM($D$18:D212))</f>
        <v>-</v>
      </c>
      <c r="F212" s="546" t="str">
        <f t="shared" si="19"/>
        <v>-</v>
      </c>
      <c r="G212" s="546" t="str">
        <f>IF(B212="","-",SUM($F$18:F212))</f>
        <v>-</v>
      </c>
      <c r="H212" s="546" t="str">
        <f t="shared" si="20"/>
        <v>-</v>
      </c>
    </row>
    <row r="213" spans="2:8" x14ac:dyDescent="0.2">
      <c r="B213" s="530" t="str">
        <f t="shared" si="16"/>
        <v/>
      </c>
      <c r="C213" s="546" t="str">
        <f t="shared" si="17"/>
        <v>-</v>
      </c>
      <c r="D213" s="546" t="str">
        <f t="shared" si="18"/>
        <v>-</v>
      </c>
      <c r="E213" s="546" t="str">
        <f>IF(B213="","-",SUM($D$18:D213))</f>
        <v>-</v>
      </c>
      <c r="F213" s="546" t="str">
        <f t="shared" si="19"/>
        <v>-</v>
      </c>
      <c r="G213" s="546" t="str">
        <f>IF(B213="","-",SUM($F$18:F213))</f>
        <v>-</v>
      </c>
      <c r="H213" s="546" t="str">
        <f t="shared" si="20"/>
        <v>-</v>
      </c>
    </row>
    <row r="214" spans="2:8" x14ac:dyDescent="0.2">
      <c r="B214" s="530" t="str">
        <f t="shared" si="16"/>
        <v/>
      </c>
      <c r="C214" s="546" t="str">
        <f t="shared" si="17"/>
        <v>-</v>
      </c>
      <c r="D214" s="546" t="str">
        <f t="shared" si="18"/>
        <v>-</v>
      </c>
      <c r="E214" s="546" t="str">
        <f>IF(B214="","-",SUM($D$18:D214))</f>
        <v>-</v>
      </c>
      <c r="F214" s="546" t="str">
        <f t="shared" si="19"/>
        <v>-</v>
      </c>
      <c r="G214" s="546" t="str">
        <f>IF(B214="","-",SUM($F$18:F214))</f>
        <v>-</v>
      </c>
      <c r="H214" s="546" t="str">
        <f t="shared" si="20"/>
        <v>-</v>
      </c>
    </row>
    <row r="215" spans="2:8" x14ac:dyDescent="0.2">
      <c r="B215" s="530" t="str">
        <f t="shared" si="16"/>
        <v/>
      </c>
      <c r="C215" s="546" t="str">
        <f t="shared" si="17"/>
        <v>-</v>
      </c>
      <c r="D215" s="546" t="str">
        <f t="shared" si="18"/>
        <v>-</v>
      </c>
      <c r="E215" s="546" t="str">
        <f>IF(B215="","-",SUM($D$18:D215))</f>
        <v>-</v>
      </c>
      <c r="F215" s="546" t="str">
        <f t="shared" si="19"/>
        <v>-</v>
      </c>
      <c r="G215" s="546" t="str">
        <f>IF(B215="","-",SUM($F$18:F215))</f>
        <v>-</v>
      </c>
      <c r="H215" s="546" t="str">
        <f t="shared" si="20"/>
        <v>-</v>
      </c>
    </row>
    <row r="216" spans="2:8" x14ac:dyDescent="0.2">
      <c r="B216" s="530" t="str">
        <f t="shared" si="16"/>
        <v/>
      </c>
      <c r="C216" s="546" t="str">
        <f t="shared" si="17"/>
        <v>-</v>
      </c>
      <c r="D216" s="546" t="str">
        <f t="shared" si="18"/>
        <v>-</v>
      </c>
      <c r="E216" s="546" t="str">
        <f>IF(B216="","-",SUM($D$18:D216))</f>
        <v>-</v>
      </c>
      <c r="F216" s="546" t="str">
        <f t="shared" si="19"/>
        <v>-</v>
      </c>
      <c r="G216" s="546" t="str">
        <f>IF(B216="","-",SUM($F$18:F216))</f>
        <v>-</v>
      </c>
      <c r="H216" s="546" t="str">
        <f t="shared" si="20"/>
        <v>-</v>
      </c>
    </row>
    <row r="217" spans="2:8" x14ac:dyDescent="0.2">
      <c r="B217" s="530" t="str">
        <f t="shared" si="16"/>
        <v/>
      </c>
      <c r="C217" s="546" t="str">
        <f t="shared" si="17"/>
        <v>-</v>
      </c>
      <c r="D217" s="546" t="str">
        <f t="shared" si="18"/>
        <v>-</v>
      </c>
      <c r="E217" s="546" t="str">
        <f>IF(B217="","-",SUM($D$18:D217))</f>
        <v>-</v>
      </c>
      <c r="F217" s="546" t="str">
        <f t="shared" si="19"/>
        <v>-</v>
      </c>
      <c r="G217" s="546" t="str">
        <f>IF(B217="","-",SUM($F$18:F217))</f>
        <v>-</v>
      </c>
      <c r="H217" s="546" t="str">
        <f t="shared" si="20"/>
        <v>-</v>
      </c>
    </row>
    <row r="218" spans="2:8" x14ac:dyDescent="0.2">
      <c r="B218" s="530" t="str">
        <f t="shared" si="16"/>
        <v/>
      </c>
      <c r="C218" s="546" t="str">
        <f t="shared" si="17"/>
        <v>-</v>
      </c>
      <c r="D218" s="546" t="str">
        <f t="shared" si="18"/>
        <v>-</v>
      </c>
      <c r="E218" s="546" t="str">
        <f>IF(B218="","-",SUM($D$18:D218))</f>
        <v>-</v>
      </c>
      <c r="F218" s="546" t="str">
        <f t="shared" si="19"/>
        <v>-</v>
      </c>
      <c r="G218" s="546" t="str">
        <f>IF(B218="","-",SUM($F$18:F218))</f>
        <v>-</v>
      </c>
      <c r="H218" s="546" t="str">
        <f t="shared" si="20"/>
        <v>-</v>
      </c>
    </row>
    <row r="219" spans="2:8" x14ac:dyDescent="0.2">
      <c r="B219" s="530" t="str">
        <f t="shared" si="16"/>
        <v/>
      </c>
      <c r="C219" s="546" t="str">
        <f t="shared" si="17"/>
        <v>-</v>
      </c>
      <c r="D219" s="546" t="str">
        <f t="shared" si="18"/>
        <v>-</v>
      </c>
      <c r="E219" s="546" t="str">
        <f>IF(B219="","-",SUM($D$18:D219))</f>
        <v>-</v>
      </c>
      <c r="F219" s="546" t="str">
        <f t="shared" si="19"/>
        <v>-</v>
      </c>
      <c r="G219" s="546" t="str">
        <f>IF(B219="","-",SUM($F$18:F219))</f>
        <v>-</v>
      </c>
      <c r="H219" s="546" t="str">
        <f t="shared" si="20"/>
        <v>-</v>
      </c>
    </row>
    <row r="220" spans="2:8" x14ac:dyDescent="0.2">
      <c r="B220" s="530" t="str">
        <f t="shared" si="16"/>
        <v/>
      </c>
      <c r="C220" s="546" t="str">
        <f t="shared" si="17"/>
        <v>-</v>
      </c>
      <c r="D220" s="546" t="str">
        <f t="shared" si="18"/>
        <v>-</v>
      </c>
      <c r="E220" s="546" t="str">
        <f>IF(B220="","-",SUM($D$18:D220))</f>
        <v>-</v>
      </c>
      <c r="F220" s="546" t="str">
        <f t="shared" si="19"/>
        <v>-</v>
      </c>
      <c r="G220" s="546" t="str">
        <f>IF(B220="","-",SUM($F$18:F220))</f>
        <v>-</v>
      </c>
      <c r="H220" s="546" t="str">
        <f t="shared" si="20"/>
        <v>-</v>
      </c>
    </row>
    <row r="221" spans="2:8" x14ac:dyDescent="0.2">
      <c r="B221" s="530" t="str">
        <f t="shared" si="16"/>
        <v/>
      </c>
      <c r="C221" s="549" t="str">
        <f t="shared" si="17"/>
        <v>-</v>
      </c>
      <c r="D221" s="546" t="str">
        <f t="shared" si="18"/>
        <v>-</v>
      </c>
      <c r="E221" s="546" t="str">
        <f>IF(B221="","-",SUM($D$18:D221))</f>
        <v>-</v>
      </c>
      <c r="F221" s="546" t="str">
        <f t="shared" si="19"/>
        <v>-</v>
      </c>
      <c r="G221" s="546" t="str">
        <f>IF(B221="","-",SUM($F$18:F221))</f>
        <v>-</v>
      </c>
      <c r="H221" s="546" t="str">
        <f t="shared" si="20"/>
        <v>-</v>
      </c>
    </row>
    <row r="222" spans="2:8" x14ac:dyDescent="0.2">
      <c r="B222" s="530" t="str">
        <f t="shared" ref="B222:B285" si="21">IF(B221&gt;=$D$5*12,"",B221+1)</f>
        <v/>
      </c>
      <c r="C222" s="546" t="str">
        <f t="shared" si="17"/>
        <v>-</v>
      </c>
      <c r="D222" s="546" t="str">
        <f t="shared" si="18"/>
        <v>-</v>
      </c>
      <c r="E222" s="546" t="str">
        <f>IF(B222="","-",SUM($D$18:D222))</f>
        <v>-</v>
      </c>
      <c r="F222" s="546" t="str">
        <f t="shared" si="19"/>
        <v>-</v>
      </c>
      <c r="G222" s="546" t="str">
        <f>IF(B222="","-",SUM($F$18:F222))</f>
        <v>-</v>
      </c>
      <c r="H222" s="546" t="str">
        <f t="shared" si="20"/>
        <v>-</v>
      </c>
    </row>
    <row r="223" spans="2:8" x14ac:dyDescent="0.2">
      <c r="B223" s="530" t="str">
        <f t="shared" si="21"/>
        <v/>
      </c>
      <c r="C223" s="546" t="str">
        <f t="shared" si="17"/>
        <v>-</v>
      </c>
      <c r="D223" s="546" t="str">
        <f t="shared" si="18"/>
        <v>-</v>
      </c>
      <c r="E223" s="546" t="str">
        <f>IF(B223="","-",SUM($D$18:D223))</f>
        <v>-</v>
      </c>
      <c r="F223" s="546" t="str">
        <f t="shared" si="19"/>
        <v>-</v>
      </c>
      <c r="G223" s="546" t="str">
        <f>IF(B223="","-",SUM($F$18:F223))</f>
        <v>-</v>
      </c>
      <c r="H223" s="546" t="str">
        <f t="shared" si="20"/>
        <v>-</v>
      </c>
    </row>
    <row r="224" spans="2:8" x14ac:dyDescent="0.2">
      <c r="B224" s="530" t="str">
        <f t="shared" si="21"/>
        <v/>
      </c>
      <c r="C224" s="546" t="str">
        <f t="shared" si="17"/>
        <v>-</v>
      </c>
      <c r="D224" s="546" t="str">
        <f t="shared" si="18"/>
        <v>-</v>
      </c>
      <c r="E224" s="546" t="str">
        <f>IF(B224="","-",SUM($D$18:D224))</f>
        <v>-</v>
      </c>
      <c r="F224" s="546" t="str">
        <f t="shared" si="19"/>
        <v>-</v>
      </c>
      <c r="G224" s="546" t="str">
        <f>IF(B224="","-",SUM($F$18:F224))</f>
        <v>-</v>
      </c>
      <c r="H224" s="546" t="str">
        <f t="shared" si="20"/>
        <v>-</v>
      </c>
    </row>
    <row r="225" spans="2:8" x14ac:dyDescent="0.2">
      <c r="B225" s="530" t="str">
        <f t="shared" si="21"/>
        <v/>
      </c>
      <c r="C225" s="546" t="str">
        <f t="shared" si="17"/>
        <v>-</v>
      </c>
      <c r="D225" s="546" t="str">
        <f t="shared" si="18"/>
        <v>-</v>
      </c>
      <c r="E225" s="546" t="str">
        <f>IF(B225="","-",SUM($D$18:D225))</f>
        <v>-</v>
      </c>
      <c r="F225" s="546" t="str">
        <f t="shared" si="19"/>
        <v>-</v>
      </c>
      <c r="G225" s="546" t="str">
        <f>IF(B225="","-",SUM($F$18:F225))</f>
        <v>-</v>
      </c>
      <c r="H225" s="546" t="str">
        <f t="shared" si="20"/>
        <v>-</v>
      </c>
    </row>
    <row r="226" spans="2:8" x14ac:dyDescent="0.2">
      <c r="B226" s="530" t="str">
        <f t="shared" si="21"/>
        <v/>
      </c>
      <c r="C226" s="546" t="str">
        <f t="shared" si="17"/>
        <v>-</v>
      </c>
      <c r="D226" s="546" t="str">
        <f t="shared" si="18"/>
        <v>-</v>
      </c>
      <c r="E226" s="546" t="str">
        <f>IF(B226="","-",SUM($D$18:D226))</f>
        <v>-</v>
      </c>
      <c r="F226" s="546" t="str">
        <f t="shared" si="19"/>
        <v>-</v>
      </c>
      <c r="G226" s="546" t="str">
        <f>IF(B226="","-",SUM($F$18:F226))</f>
        <v>-</v>
      </c>
      <c r="H226" s="546" t="str">
        <f t="shared" si="20"/>
        <v>-</v>
      </c>
    </row>
    <row r="227" spans="2:8" x14ac:dyDescent="0.2">
      <c r="B227" s="530" t="str">
        <f t="shared" si="21"/>
        <v/>
      </c>
      <c r="C227" s="546" t="str">
        <f t="shared" si="17"/>
        <v>-</v>
      </c>
      <c r="D227" s="546" t="str">
        <f t="shared" si="18"/>
        <v>-</v>
      </c>
      <c r="E227" s="546" t="str">
        <f>IF(B227="","-",SUM($D$18:D227))</f>
        <v>-</v>
      </c>
      <c r="F227" s="546" t="str">
        <f t="shared" si="19"/>
        <v>-</v>
      </c>
      <c r="G227" s="546" t="str">
        <f>IF(B227="","-",SUM($F$18:F227))</f>
        <v>-</v>
      </c>
      <c r="H227" s="546" t="str">
        <f t="shared" si="20"/>
        <v>-</v>
      </c>
    </row>
    <row r="228" spans="2:8" x14ac:dyDescent="0.2">
      <c r="B228" s="530" t="str">
        <f t="shared" si="21"/>
        <v/>
      </c>
      <c r="C228" s="546" t="str">
        <f t="shared" si="17"/>
        <v>-</v>
      </c>
      <c r="D228" s="546" t="str">
        <f t="shared" si="18"/>
        <v>-</v>
      </c>
      <c r="E228" s="546" t="str">
        <f>IF(B228="","-",SUM($D$18:D228))</f>
        <v>-</v>
      </c>
      <c r="F228" s="546" t="str">
        <f t="shared" si="19"/>
        <v>-</v>
      </c>
      <c r="G228" s="546" t="str">
        <f>IF(B228="","-",SUM($F$18:F228))</f>
        <v>-</v>
      </c>
      <c r="H228" s="546" t="str">
        <f t="shared" si="20"/>
        <v>-</v>
      </c>
    </row>
    <row r="229" spans="2:8" x14ac:dyDescent="0.2">
      <c r="B229" s="530" t="str">
        <f t="shared" si="21"/>
        <v/>
      </c>
      <c r="C229" s="546" t="str">
        <f t="shared" si="17"/>
        <v>-</v>
      </c>
      <c r="D229" s="546" t="str">
        <f t="shared" si="18"/>
        <v>-</v>
      </c>
      <c r="E229" s="546" t="str">
        <f>IF(B229="","-",SUM($D$18:D229))</f>
        <v>-</v>
      </c>
      <c r="F229" s="546" t="str">
        <f t="shared" si="19"/>
        <v>-</v>
      </c>
      <c r="G229" s="546" t="str">
        <f>IF(B229="","-",SUM($F$18:F229))</f>
        <v>-</v>
      </c>
      <c r="H229" s="546" t="str">
        <f t="shared" si="20"/>
        <v>-</v>
      </c>
    </row>
    <row r="230" spans="2:8" x14ac:dyDescent="0.2">
      <c r="B230" s="530" t="str">
        <f t="shared" si="21"/>
        <v/>
      </c>
      <c r="C230" s="546" t="str">
        <f t="shared" si="17"/>
        <v>-</v>
      </c>
      <c r="D230" s="546" t="str">
        <f t="shared" si="18"/>
        <v>-</v>
      </c>
      <c r="E230" s="546" t="str">
        <f>IF(B230="","-",SUM($D$18:D230))</f>
        <v>-</v>
      </c>
      <c r="F230" s="546" t="str">
        <f t="shared" si="19"/>
        <v>-</v>
      </c>
      <c r="G230" s="546" t="str">
        <f>IF(B230="","-",SUM($F$18:F230))</f>
        <v>-</v>
      </c>
      <c r="H230" s="546" t="str">
        <f t="shared" si="20"/>
        <v>-</v>
      </c>
    </row>
    <row r="231" spans="2:8" x14ac:dyDescent="0.2">
      <c r="B231" s="530" t="str">
        <f t="shared" si="21"/>
        <v/>
      </c>
      <c r="C231" s="546" t="str">
        <f t="shared" si="17"/>
        <v>-</v>
      </c>
      <c r="D231" s="546" t="str">
        <f t="shared" si="18"/>
        <v>-</v>
      </c>
      <c r="E231" s="546" t="str">
        <f>IF(B231="","-",SUM($D$18:D231))</f>
        <v>-</v>
      </c>
      <c r="F231" s="546" t="str">
        <f t="shared" si="19"/>
        <v>-</v>
      </c>
      <c r="G231" s="546" t="str">
        <f>IF(B231="","-",SUM($F$18:F231))</f>
        <v>-</v>
      </c>
      <c r="H231" s="546" t="str">
        <f t="shared" si="20"/>
        <v>-</v>
      </c>
    </row>
    <row r="232" spans="2:8" x14ac:dyDescent="0.2">
      <c r="B232" s="530" t="str">
        <f t="shared" si="21"/>
        <v/>
      </c>
      <c r="C232" s="546" t="str">
        <f t="shared" si="17"/>
        <v>-</v>
      </c>
      <c r="D232" s="546" t="str">
        <f t="shared" si="18"/>
        <v>-</v>
      </c>
      <c r="E232" s="546" t="str">
        <f>IF(B232="","-",SUM($D$18:D232))</f>
        <v>-</v>
      </c>
      <c r="F232" s="546" t="str">
        <f t="shared" si="19"/>
        <v>-</v>
      </c>
      <c r="G232" s="546" t="str">
        <f>IF(B232="","-",SUM($F$18:F232))</f>
        <v>-</v>
      </c>
      <c r="H232" s="546" t="str">
        <f t="shared" si="20"/>
        <v>-</v>
      </c>
    </row>
    <row r="233" spans="2:8" x14ac:dyDescent="0.2">
      <c r="B233" s="530" t="str">
        <f t="shared" si="21"/>
        <v/>
      </c>
      <c r="C233" s="549" t="str">
        <f t="shared" si="17"/>
        <v>-</v>
      </c>
      <c r="D233" s="546" t="str">
        <f t="shared" si="18"/>
        <v>-</v>
      </c>
      <c r="E233" s="546" t="str">
        <f>IF(B233="","-",SUM($D$18:D233))</f>
        <v>-</v>
      </c>
      <c r="F233" s="546" t="str">
        <f t="shared" si="19"/>
        <v>-</v>
      </c>
      <c r="G233" s="546" t="str">
        <f>IF(B233="","-",SUM($F$18:F233))</f>
        <v>-</v>
      </c>
      <c r="H233" s="546" t="str">
        <f t="shared" si="20"/>
        <v>-</v>
      </c>
    </row>
    <row r="234" spans="2:8" x14ac:dyDescent="0.2">
      <c r="B234" s="530" t="str">
        <f t="shared" si="21"/>
        <v/>
      </c>
      <c r="C234" s="546" t="str">
        <f t="shared" si="17"/>
        <v>-</v>
      </c>
      <c r="D234" s="546" t="str">
        <f t="shared" si="18"/>
        <v>-</v>
      </c>
      <c r="E234" s="546" t="str">
        <f>IF(B234="","-",SUM($D$18:D234))</f>
        <v>-</v>
      </c>
      <c r="F234" s="546" t="str">
        <f t="shared" si="19"/>
        <v>-</v>
      </c>
      <c r="G234" s="546" t="str">
        <f>IF(B234="","-",SUM($F$18:F234))</f>
        <v>-</v>
      </c>
      <c r="H234" s="546" t="str">
        <f t="shared" si="20"/>
        <v>-</v>
      </c>
    </row>
    <row r="235" spans="2:8" x14ac:dyDescent="0.2">
      <c r="B235" s="530" t="str">
        <f t="shared" si="21"/>
        <v/>
      </c>
      <c r="C235" s="546" t="str">
        <f t="shared" si="17"/>
        <v>-</v>
      </c>
      <c r="D235" s="546" t="str">
        <f t="shared" si="18"/>
        <v>-</v>
      </c>
      <c r="E235" s="546" t="str">
        <f>IF(B235="","-",SUM($D$18:D235))</f>
        <v>-</v>
      </c>
      <c r="F235" s="546" t="str">
        <f t="shared" si="19"/>
        <v>-</v>
      </c>
      <c r="G235" s="546" t="str">
        <f>IF(B235="","-",SUM($F$18:F235))</f>
        <v>-</v>
      </c>
      <c r="H235" s="546" t="str">
        <f t="shared" si="20"/>
        <v>-</v>
      </c>
    </row>
    <row r="236" spans="2:8" x14ac:dyDescent="0.2">
      <c r="B236" s="530" t="str">
        <f t="shared" si="21"/>
        <v/>
      </c>
      <c r="C236" s="546" t="str">
        <f t="shared" si="17"/>
        <v>-</v>
      </c>
      <c r="D236" s="546" t="str">
        <f t="shared" si="18"/>
        <v>-</v>
      </c>
      <c r="E236" s="546" t="str">
        <f>IF(B236="","-",SUM($D$18:D236))</f>
        <v>-</v>
      </c>
      <c r="F236" s="546" t="str">
        <f t="shared" si="19"/>
        <v>-</v>
      </c>
      <c r="G236" s="546" t="str">
        <f>IF(B236="","-",SUM($F$18:F236))</f>
        <v>-</v>
      </c>
      <c r="H236" s="546" t="str">
        <f t="shared" si="20"/>
        <v>-</v>
      </c>
    </row>
    <row r="237" spans="2:8" x14ac:dyDescent="0.2">
      <c r="B237" s="530" t="str">
        <f t="shared" si="21"/>
        <v/>
      </c>
      <c r="C237" s="546" t="str">
        <f t="shared" si="17"/>
        <v>-</v>
      </c>
      <c r="D237" s="546" t="str">
        <f t="shared" si="18"/>
        <v>-</v>
      </c>
      <c r="E237" s="546" t="str">
        <f>IF(B237="","-",SUM($D$18:D237))</f>
        <v>-</v>
      </c>
      <c r="F237" s="546" t="str">
        <f t="shared" si="19"/>
        <v>-</v>
      </c>
      <c r="G237" s="546" t="str">
        <f>IF(B237="","-",SUM($F$18:F237))</f>
        <v>-</v>
      </c>
      <c r="H237" s="546" t="str">
        <f t="shared" si="20"/>
        <v>-</v>
      </c>
    </row>
    <row r="238" spans="2:8" x14ac:dyDescent="0.2">
      <c r="B238" s="530" t="str">
        <f t="shared" si="21"/>
        <v/>
      </c>
      <c r="C238" s="546" t="str">
        <f t="shared" si="17"/>
        <v>-</v>
      </c>
      <c r="D238" s="546" t="str">
        <f t="shared" si="18"/>
        <v>-</v>
      </c>
      <c r="E238" s="546" t="str">
        <f>IF(B238="","-",SUM($D$18:D238))</f>
        <v>-</v>
      </c>
      <c r="F238" s="546" t="str">
        <f t="shared" si="19"/>
        <v>-</v>
      </c>
      <c r="G238" s="546" t="str">
        <f>IF(B238="","-",SUM($F$18:F238))</f>
        <v>-</v>
      </c>
      <c r="H238" s="546" t="str">
        <f t="shared" si="20"/>
        <v>-</v>
      </c>
    </row>
    <row r="239" spans="2:8" x14ac:dyDescent="0.2">
      <c r="B239" s="530" t="str">
        <f t="shared" si="21"/>
        <v/>
      </c>
      <c r="C239" s="546" t="str">
        <f t="shared" si="17"/>
        <v>-</v>
      </c>
      <c r="D239" s="546" t="str">
        <f t="shared" si="18"/>
        <v>-</v>
      </c>
      <c r="E239" s="546" t="str">
        <f>IF(B239="","-",SUM($D$18:D239))</f>
        <v>-</v>
      </c>
      <c r="F239" s="546" t="str">
        <f t="shared" si="19"/>
        <v>-</v>
      </c>
      <c r="G239" s="546" t="str">
        <f>IF(B239="","-",SUM($F$18:F239))</f>
        <v>-</v>
      </c>
      <c r="H239" s="546" t="str">
        <f t="shared" si="20"/>
        <v>-</v>
      </c>
    </row>
    <row r="240" spans="2:8" x14ac:dyDescent="0.2">
      <c r="B240" s="530" t="str">
        <f t="shared" si="21"/>
        <v/>
      </c>
      <c r="C240" s="546" t="str">
        <f t="shared" si="17"/>
        <v>-</v>
      </c>
      <c r="D240" s="546" t="str">
        <f t="shared" si="18"/>
        <v>-</v>
      </c>
      <c r="E240" s="546" t="str">
        <f>IF(B240="","-",SUM($D$18:D240))</f>
        <v>-</v>
      </c>
      <c r="F240" s="546" t="str">
        <f t="shared" si="19"/>
        <v>-</v>
      </c>
      <c r="G240" s="546" t="str">
        <f>IF(B240="","-",SUM($F$18:F240))</f>
        <v>-</v>
      </c>
      <c r="H240" s="546" t="str">
        <f t="shared" si="20"/>
        <v>-</v>
      </c>
    </row>
    <row r="241" spans="2:8" x14ac:dyDescent="0.2">
      <c r="B241" s="530" t="str">
        <f t="shared" si="21"/>
        <v/>
      </c>
      <c r="C241" s="546" t="str">
        <f t="shared" si="17"/>
        <v>-</v>
      </c>
      <c r="D241" s="546" t="str">
        <f t="shared" si="18"/>
        <v>-</v>
      </c>
      <c r="E241" s="546" t="str">
        <f>IF(B241="","-",SUM($D$18:D241))</f>
        <v>-</v>
      </c>
      <c r="F241" s="546" t="str">
        <f t="shared" si="19"/>
        <v>-</v>
      </c>
      <c r="G241" s="546" t="str">
        <f>IF(B241="","-",SUM($F$18:F241))</f>
        <v>-</v>
      </c>
      <c r="H241" s="546" t="str">
        <f t="shared" si="20"/>
        <v>-</v>
      </c>
    </row>
    <row r="242" spans="2:8" x14ac:dyDescent="0.2">
      <c r="B242" s="530" t="str">
        <f t="shared" si="21"/>
        <v/>
      </c>
      <c r="C242" s="546" t="str">
        <f t="shared" si="17"/>
        <v>-</v>
      </c>
      <c r="D242" s="546" t="str">
        <f t="shared" si="18"/>
        <v>-</v>
      </c>
      <c r="E242" s="546" t="str">
        <f>IF(B242="","-",SUM($D$18:D242))</f>
        <v>-</v>
      </c>
      <c r="F242" s="546" t="str">
        <f t="shared" si="19"/>
        <v>-</v>
      </c>
      <c r="G242" s="546" t="str">
        <f>IF(B242="","-",SUM($F$18:F242))</f>
        <v>-</v>
      </c>
      <c r="H242" s="546" t="str">
        <f t="shared" si="20"/>
        <v>-</v>
      </c>
    </row>
    <row r="243" spans="2:8" x14ac:dyDescent="0.2">
      <c r="B243" s="530" t="str">
        <f t="shared" si="21"/>
        <v/>
      </c>
      <c r="C243" s="546" t="str">
        <f t="shared" si="17"/>
        <v>-</v>
      </c>
      <c r="D243" s="546" t="str">
        <f t="shared" si="18"/>
        <v>-</v>
      </c>
      <c r="E243" s="546" t="str">
        <f>IF(B243="","-",SUM($D$18:D243))</f>
        <v>-</v>
      </c>
      <c r="F243" s="546" t="str">
        <f t="shared" si="19"/>
        <v>-</v>
      </c>
      <c r="G243" s="546" t="str">
        <f>IF(B243="","-",SUM($F$18:F243))</f>
        <v>-</v>
      </c>
      <c r="H243" s="546" t="str">
        <f t="shared" si="20"/>
        <v>-</v>
      </c>
    </row>
    <row r="244" spans="2:8" x14ac:dyDescent="0.2">
      <c r="B244" s="530" t="str">
        <f t="shared" si="21"/>
        <v/>
      </c>
      <c r="C244" s="546" t="str">
        <f t="shared" si="17"/>
        <v>-</v>
      </c>
      <c r="D244" s="546" t="str">
        <f t="shared" si="18"/>
        <v>-</v>
      </c>
      <c r="E244" s="546" t="str">
        <f>IF(B244="","-",SUM($D$18:D244))</f>
        <v>-</v>
      </c>
      <c r="F244" s="546" t="str">
        <f t="shared" si="19"/>
        <v>-</v>
      </c>
      <c r="G244" s="546" t="str">
        <f>IF(B244="","-",SUM($F$18:F244))</f>
        <v>-</v>
      </c>
      <c r="H244" s="546" t="str">
        <f t="shared" si="20"/>
        <v>-</v>
      </c>
    </row>
    <row r="245" spans="2:8" x14ac:dyDescent="0.2">
      <c r="B245" s="530" t="str">
        <f t="shared" si="21"/>
        <v/>
      </c>
      <c r="C245" s="549" t="str">
        <f t="shared" si="17"/>
        <v>-</v>
      </c>
      <c r="D245" s="546" t="str">
        <f t="shared" si="18"/>
        <v>-</v>
      </c>
      <c r="E245" s="546" t="str">
        <f>IF(B245="","-",SUM($D$18:D245))</f>
        <v>-</v>
      </c>
      <c r="F245" s="546" t="str">
        <f t="shared" si="19"/>
        <v>-</v>
      </c>
      <c r="G245" s="546" t="str">
        <f>IF(B245="","-",SUM($F$18:F245))</f>
        <v>-</v>
      </c>
      <c r="H245" s="546" t="str">
        <f t="shared" si="20"/>
        <v>-</v>
      </c>
    </row>
    <row r="246" spans="2:8" x14ac:dyDescent="0.2">
      <c r="B246" s="530" t="str">
        <f t="shared" si="21"/>
        <v/>
      </c>
      <c r="C246" s="546" t="str">
        <f t="shared" si="17"/>
        <v>-</v>
      </c>
      <c r="D246" s="546" t="str">
        <f t="shared" si="18"/>
        <v>-</v>
      </c>
      <c r="E246" s="546" t="str">
        <f>IF(B246="","-",SUM($D$18:D246))</f>
        <v>-</v>
      </c>
      <c r="F246" s="546" t="str">
        <f t="shared" si="19"/>
        <v>-</v>
      </c>
      <c r="G246" s="546" t="str">
        <f>IF(B246="","-",SUM($F$18:F246))</f>
        <v>-</v>
      </c>
      <c r="H246" s="546" t="str">
        <f t="shared" si="20"/>
        <v>-</v>
      </c>
    </row>
    <row r="247" spans="2:8" x14ac:dyDescent="0.2">
      <c r="B247" s="530" t="str">
        <f t="shared" si="21"/>
        <v/>
      </c>
      <c r="C247" s="546" t="str">
        <f t="shared" si="17"/>
        <v>-</v>
      </c>
      <c r="D247" s="546" t="str">
        <f t="shared" si="18"/>
        <v>-</v>
      </c>
      <c r="E247" s="546" t="str">
        <f>IF(B247="","-",SUM($D$18:D247))</f>
        <v>-</v>
      </c>
      <c r="F247" s="546" t="str">
        <f t="shared" si="19"/>
        <v>-</v>
      </c>
      <c r="G247" s="546" t="str">
        <f>IF(B247="","-",SUM($F$18:F247))</f>
        <v>-</v>
      </c>
      <c r="H247" s="546" t="str">
        <f t="shared" si="20"/>
        <v>-</v>
      </c>
    </row>
    <row r="248" spans="2:8" x14ac:dyDescent="0.2">
      <c r="B248" s="530" t="str">
        <f t="shared" si="21"/>
        <v/>
      </c>
      <c r="C248" s="546" t="str">
        <f t="shared" si="17"/>
        <v>-</v>
      </c>
      <c r="D248" s="546" t="str">
        <f t="shared" si="18"/>
        <v>-</v>
      </c>
      <c r="E248" s="546" t="str">
        <f>IF(B248="","-",SUM($D$18:D248))</f>
        <v>-</v>
      </c>
      <c r="F248" s="546" t="str">
        <f t="shared" si="19"/>
        <v>-</v>
      </c>
      <c r="G248" s="546" t="str">
        <f>IF(B248="","-",SUM($F$18:F248))</f>
        <v>-</v>
      </c>
      <c r="H248" s="546" t="str">
        <f t="shared" si="20"/>
        <v>-</v>
      </c>
    </row>
    <row r="249" spans="2:8" x14ac:dyDescent="0.2">
      <c r="B249" s="530" t="str">
        <f t="shared" si="21"/>
        <v/>
      </c>
      <c r="C249" s="546" t="str">
        <f t="shared" si="17"/>
        <v>-</v>
      </c>
      <c r="D249" s="546" t="str">
        <f t="shared" si="18"/>
        <v>-</v>
      </c>
      <c r="E249" s="546" t="str">
        <f>IF(B249="","-",SUM($D$18:D249))</f>
        <v>-</v>
      </c>
      <c r="F249" s="546" t="str">
        <f t="shared" si="19"/>
        <v>-</v>
      </c>
      <c r="G249" s="546" t="str">
        <f>IF(B249="","-",SUM($F$18:F249))</f>
        <v>-</v>
      </c>
      <c r="H249" s="546" t="str">
        <f t="shared" si="20"/>
        <v>-</v>
      </c>
    </row>
    <row r="250" spans="2:8" x14ac:dyDescent="0.2">
      <c r="B250" s="530" t="str">
        <f t="shared" si="21"/>
        <v/>
      </c>
      <c r="C250" s="546" t="str">
        <f t="shared" si="17"/>
        <v>-</v>
      </c>
      <c r="D250" s="546" t="str">
        <f t="shared" si="18"/>
        <v>-</v>
      </c>
      <c r="E250" s="546" t="str">
        <f>IF(B250="","-",SUM($D$18:D250))</f>
        <v>-</v>
      </c>
      <c r="F250" s="546" t="str">
        <f t="shared" si="19"/>
        <v>-</v>
      </c>
      <c r="G250" s="546" t="str">
        <f>IF(B250="","-",SUM($F$18:F250))</f>
        <v>-</v>
      </c>
      <c r="H250" s="546" t="str">
        <f t="shared" si="20"/>
        <v>-</v>
      </c>
    </row>
    <row r="251" spans="2:8" x14ac:dyDescent="0.2">
      <c r="B251" s="530" t="str">
        <f t="shared" si="21"/>
        <v/>
      </c>
      <c r="C251" s="546" t="str">
        <f t="shared" si="17"/>
        <v>-</v>
      </c>
      <c r="D251" s="546" t="str">
        <f t="shared" si="18"/>
        <v>-</v>
      </c>
      <c r="E251" s="546" t="str">
        <f>IF(B251="","-",SUM($D$18:D251))</f>
        <v>-</v>
      </c>
      <c r="F251" s="546" t="str">
        <f t="shared" si="19"/>
        <v>-</v>
      </c>
      <c r="G251" s="546" t="str">
        <f>IF(B251="","-",SUM($F$18:F251))</f>
        <v>-</v>
      </c>
      <c r="H251" s="546" t="str">
        <f t="shared" si="20"/>
        <v>-</v>
      </c>
    </row>
    <row r="252" spans="2:8" x14ac:dyDescent="0.2">
      <c r="B252" s="530" t="str">
        <f t="shared" si="21"/>
        <v/>
      </c>
      <c r="C252" s="546" t="str">
        <f t="shared" si="17"/>
        <v>-</v>
      </c>
      <c r="D252" s="546" t="str">
        <f t="shared" si="18"/>
        <v>-</v>
      </c>
      <c r="E252" s="546" t="str">
        <f>IF(B252="","-",SUM($D$18:D252))</f>
        <v>-</v>
      </c>
      <c r="F252" s="546" t="str">
        <f t="shared" si="19"/>
        <v>-</v>
      </c>
      <c r="G252" s="546" t="str">
        <f>IF(B252="","-",SUM($F$18:F252))</f>
        <v>-</v>
      </c>
      <c r="H252" s="546" t="str">
        <f t="shared" si="20"/>
        <v>-</v>
      </c>
    </row>
    <row r="253" spans="2:8" x14ac:dyDescent="0.2">
      <c r="B253" s="530" t="str">
        <f t="shared" si="21"/>
        <v/>
      </c>
      <c r="C253" s="546" t="str">
        <f t="shared" si="17"/>
        <v>-</v>
      </c>
      <c r="D253" s="546" t="str">
        <f t="shared" si="18"/>
        <v>-</v>
      </c>
      <c r="E253" s="546" t="str">
        <f>IF(B253="","-",SUM($D$18:D253))</f>
        <v>-</v>
      </c>
      <c r="F253" s="546" t="str">
        <f t="shared" si="19"/>
        <v>-</v>
      </c>
      <c r="G253" s="546" t="str">
        <f>IF(B253="","-",SUM($F$18:F253))</f>
        <v>-</v>
      </c>
      <c r="H253" s="546" t="str">
        <f t="shared" si="20"/>
        <v>-</v>
      </c>
    </row>
    <row r="254" spans="2:8" x14ac:dyDescent="0.2">
      <c r="B254" s="530" t="str">
        <f t="shared" si="21"/>
        <v/>
      </c>
      <c r="C254" s="546" t="str">
        <f t="shared" si="17"/>
        <v>-</v>
      </c>
      <c r="D254" s="546" t="str">
        <f t="shared" si="18"/>
        <v>-</v>
      </c>
      <c r="E254" s="546" t="str">
        <f>IF(B254="","-",SUM($D$18:D254))</f>
        <v>-</v>
      </c>
      <c r="F254" s="546" t="str">
        <f t="shared" si="19"/>
        <v>-</v>
      </c>
      <c r="G254" s="546" t="str">
        <f>IF(B254="","-",SUM($F$18:F254))</f>
        <v>-</v>
      </c>
      <c r="H254" s="546" t="str">
        <f t="shared" si="20"/>
        <v>-</v>
      </c>
    </row>
    <row r="255" spans="2:8" x14ac:dyDescent="0.2">
      <c r="B255" s="530" t="str">
        <f t="shared" si="21"/>
        <v/>
      </c>
      <c r="C255" s="546" t="str">
        <f t="shared" si="17"/>
        <v>-</v>
      </c>
      <c r="D255" s="546" t="str">
        <f t="shared" si="18"/>
        <v>-</v>
      </c>
      <c r="E255" s="546" t="str">
        <f>IF(B255="","-",SUM($D$18:D255))</f>
        <v>-</v>
      </c>
      <c r="F255" s="546" t="str">
        <f t="shared" si="19"/>
        <v>-</v>
      </c>
      <c r="G255" s="546" t="str">
        <f>IF(B255="","-",SUM($F$18:F255))</f>
        <v>-</v>
      </c>
      <c r="H255" s="546" t="str">
        <f t="shared" si="20"/>
        <v>-</v>
      </c>
    </row>
    <row r="256" spans="2:8" x14ac:dyDescent="0.2">
      <c r="B256" s="530" t="str">
        <f t="shared" si="21"/>
        <v/>
      </c>
      <c r="C256" s="546" t="str">
        <f t="shared" si="17"/>
        <v>-</v>
      </c>
      <c r="D256" s="546" t="str">
        <f t="shared" si="18"/>
        <v>-</v>
      </c>
      <c r="E256" s="546" t="str">
        <f>IF(B256="","-",SUM($D$18:D256))</f>
        <v>-</v>
      </c>
      <c r="F256" s="546" t="str">
        <f t="shared" si="19"/>
        <v>-</v>
      </c>
      <c r="G256" s="546" t="str">
        <f>IF(B256="","-",SUM($F$18:F256))</f>
        <v>-</v>
      </c>
      <c r="H256" s="546" t="str">
        <f t="shared" si="20"/>
        <v>-</v>
      </c>
    </row>
    <row r="257" spans="2:8" x14ac:dyDescent="0.2">
      <c r="B257" s="530" t="str">
        <f t="shared" si="21"/>
        <v/>
      </c>
      <c r="C257" s="549" t="str">
        <f t="shared" si="17"/>
        <v>-</v>
      </c>
      <c r="D257" s="546" t="str">
        <f t="shared" si="18"/>
        <v>-</v>
      </c>
      <c r="E257" s="546" t="str">
        <f>IF(B257="","-",SUM($D$18:D257))</f>
        <v>-</v>
      </c>
      <c r="F257" s="546" t="str">
        <f t="shared" si="19"/>
        <v>-</v>
      </c>
      <c r="G257" s="546" t="str">
        <f>IF(B257="","-",SUM($F$18:F257))</f>
        <v>-</v>
      </c>
      <c r="H257" s="546" t="str">
        <f t="shared" si="20"/>
        <v>-</v>
      </c>
    </row>
    <row r="258" spans="2:8" x14ac:dyDescent="0.2">
      <c r="B258" s="530" t="str">
        <f t="shared" si="21"/>
        <v/>
      </c>
      <c r="C258" s="546" t="str">
        <f t="shared" ref="C258:C321" si="22">IF(B258="","-",$D$7)</f>
        <v>-</v>
      </c>
      <c r="D258" s="546" t="str">
        <f t="shared" si="18"/>
        <v>-</v>
      </c>
      <c r="E258" s="546" t="str">
        <f>IF(B258="","-",SUM($D$18:D258))</f>
        <v>-</v>
      </c>
      <c r="F258" s="546" t="str">
        <f t="shared" si="19"/>
        <v>-</v>
      </c>
      <c r="G258" s="546" t="str">
        <f>IF(B258="","-",SUM($F$18:F258))</f>
        <v>-</v>
      </c>
      <c r="H258" s="546" t="str">
        <f t="shared" si="20"/>
        <v>-</v>
      </c>
    </row>
    <row r="259" spans="2:8" x14ac:dyDescent="0.2">
      <c r="B259" s="530" t="str">
        <f t="shared" si="21"/>
        <v/>
      </c>
      <c r="C259" s="546" t="str">
        <f t="shared" si="22"/>
        <v>-</v>
      </c>
      <c r="D259" s="546" t="str">
        <f t="shared" si="18"/>
        <v>-</v>
      </c>
      <c r="E259" s="546" t="str">
        <f>IF(B259="","-",SUM($D$18:D259))</f>
        <v>-</v>
      </c>
      <c r="F259" s="546" t="str">
        <f t="shared" si="19"/>
        <v>-</v>
      </c>
      <c r="G259" s="546" t="str">
        <f>IF(B259="","-",SUM($F$18:F259))</f>
        <v>-</v>
      </c>
      <c r="H259" s="546" t="str">
        <f t="shared" si="20"/>
        <v>-</v>
      </c>
    </row>
    <row r="260" spans="2:8" x14ac:dyDescent="0.2">
      <c r="B260" s="530" t="str">
        <f t="shared" si="21"/>
        <v/>
      </c>
      <c r="C260" s="546" t="str">
        <f t="shared" si="22"/>
        <v>-</v>
      </c>
      <c r="D260" s="546" t="str">
        <f t="shared" si="18"/>
        <v>-</v>
      </c>
      <c r="E260" s="546" t="str">
        <f>IF(B260="","-",SUM($D$18:D260))</f>
        <v>-</v>
      </c>
      <c r="F260" s="546" t="str">
        <f t="shared" si="19"/>
        <v>-</v>
      </c>
      <c r="G260" s="546" t="str">
        <f>IF(B260="","-",SUM($F$18:F260))</f>
        <v>-</v>
      </c>
      <c r="H260" s="546" t="str">
        <f t="shared" si="20"/>
        <v>-</v>
      </c>
    </row>
    <row r="261" spans="2:8" x14ac:dyDescent="0.2">
      <c r="B261" s="530" t="str">
        <f t="shared" si="21"/>
        <v/>
      </c>
      <c r="C261" s="546" t="str">
        <f t="shared" si="22"/>
        <v>-</v>
      </c>
      <c r="D261" s="546" t="str">
        <f t="shared" si="18"/>
        <v>-</v>
      </c>
      <c r="E261" s="546" t="str">
        <f>IF(B261="","-",SUM($D$18:D261))</f>
        <v>-</v>
      </c>
      <c r="F261" s="546" t="str">
        <f t="shared" si="19"/>
        <v>-</v>
      </c>
      <c r="G261" s="546" t="str">
        <f>IF(B261="","-",SUM($F$18:F261))</f>
        <v>-</v>
      </c>
      <c r="H261" s="546" t="str">
        <f t="shared" si="20"/>
        <v>-</v>
      </c>
    </row>
    <row r="262" spans="2:8" x14ac:dyDescent="0.2">
      <c r="B262" s="530" t="str">
        <f t="shared" si="21"/>
        <v/>
      </c>
      <c r="C262" s="546" t="str">
        <f t="shared" si="22"/>
        <v>-</v>
      </c>
      <c r="D262" s="546" t="str">
        <f t="shared" si="18"/>
        <v>-</v>
      </c>
      <c r="E262" s="546" t="str">
        <f>IF(B262="","-",SUM($D$18:D262))</f>
        <v>-</v>
      </c>
      <c r="F262" s="546" t="str">
        <f t="shared" si="19"/>
        <v>-</v>
      </c>
      <c r="G262" s="546" t="str">
        <f>IF(B262="","-",SUM($F$18:F262))</f>
        <v>-</v>
      </c>
      <c r="H262" s="546" t="str">
        <f t="shared" si="20"/>
        <v>-</v>
      </c>
    </row>
    <row r="263" spans="2:8" x14ac:dyDescent="0.2">
      <c r="B263" s="530" t="str">
        <f t="shared" si="21"/>
        <v/>
      </c>
      <c r="C263" s="546" t="str">
        <f t="shared" si="22"/>
        <v>-</v>
      </c>
      <c r="D263" s="546" t="str">
        <f t="shared" si="18"/>
        <v>-</v>
      </c>
      <c r="E263" s="546" t="str">
        <f>IF(B263="","-",SUM($D$18:D263))</f>
        <v>-</v>
      </c>
      <c r="F263" s="546" t="str">
        <f t="shared" si="19"/>
        <v>-</v>
      </c>
      <c r="G263" s="546" t="str">
        <f>IF(B263="","-",SUM($F$18:F263))</f>
        <v>-</v>
      </c>
      <c r="H263" s="546" t="str">
        <f t="shared" si="20"/>
        <v>-</v>
      </c>
    </row>
    <row r="264" spans="2:8" x14ac:dyDescent="0.2">
      <c r="B264" s="530" t="str">
        <f t="shared" si="21"/>
        <v/>
      </c>
      <c r="C264" s="546" t="str">
        <f t="shared" si="22"/>
        <v>-</v>
      </c>
      <c r="D264" s="546" t="str">
        <f t="shared" si="18"/>
        <v>-</v>
      </c>
      <c r="E264" s="546" t="str">
        <f>IF(B264="","-",SUM($D$18:D264))</f>
        <v>-</v>
      </c>
      <c r="F264" s="546" t="str">
        <f t="shared" si="19"/>
        <v>-</v>
      </c>
      <c r="G264" s="546" t="str">
        <f>IF(B264="","-",SUM($F$18:F264))</f>
        <v>-</v>
      </c>
      <c r="H264" s="546" t="str">
        <f t="shared" si="20"/>
        <v>-</v>
      </c>
    </row>
    <row r="265" spans="2:8" x14ac:dyDescent="0.2">
      <c r="B265" s="530" t="str">
        <f t="shared" si="21"/>
        <v/>
      </c>
      <c r="C265" s="546" t="str">
        <f t="shared" si="22"/>
        <v>-</v>
      </c>
      <c r="D265" s="546" t="str">
        <f t="shared" si="18"/>
        <v>-</v>
      </c>
      <c r="E265" s="546" t="str">
        <f>IF(B265="","-",SUM($D$18:D265))</f>
        <v>-</v>
      </c>
      <c r="F265" s="546" t="str">
        <f t="shared" si="19"/>
        <v>-</v>
      </c>
      <c r="G265" s="546" t="str">
        <f>IF(B265="","-",SUM($F$18:F265))</f>
        <v>-</v>
      </c>
      <c r="H265" s="546" t="str">
        <f t="shared" si="20"/>
        <v>-</v>
      </c>
    </row>
    <row r="266" spans="2:8" x14ac:dyDescent="0.2">
      <c r="B266" s="530" t="str">
        <f t="shared" si="21"/>
        <v/>
      </c>
      <c r="C266" s="546" t="str">
        <f t="shared" si="22"/>
        <v>-</v>
      </c>
      <c r="D266" s="546" t="str">
        <f t="shared" si="18"/>
        <v>-</v>
      </c>
      <c r="E266" s="546" t="str">
        <f>IF(B266="","-",SUM($D$18:D266))</f>
        <v>-</v>
      </c>
      <c r="F266" s="546" t="str">
        <f t="shared" si="19"/>
        <v>-</v>
      </c>
      <c r="G266" s="546" t="str">
        <f>IF(B266="","-",SUM($F$18:F266))</f>
        <v>-</v>
      </c>
      <c r="H266" s="546" t="str">
        <f t="shared" si="20"/>
        <v>-</v>
      </c>
    </row>
    <row r="267" spans="2:8" x14ac:dyDescent="0.2">
      <c r="B267" s="530" t="str">
        <f t="shared" si="21"/>
        <v/>
      </c>
      <c r="C267" s="546" t="str">
        <f t="shared" si="22"/>
        <v>-</v>
      </c>
      <c r="D267" s="546" t="str">
        <f t="shared" si="18"/>
        <v>-</v>
      </c>
      <c r="E267" s="546" t="str">
        <f>IF(B267="","-",SUM($D$18:D267))</f>
        <v>-</v>
      </c>
      <c r="F267" s="546" t="str">
        <f t="shared" si="19"/>
        <v>-</v>
      </c>
      <c r="G267" s="546" t="str">
        <f>IF(B267="","-",SUM($F$18:F267))</f>
        <v>-</v>
      </c>
      <c r="H267" s="546" t="str">
        <f t="shared" si="20"/>
        <v>-</v>
      </c>
    </row>
    <row r="268" spans="2:8" x14ac:dyDescent="0.2">
      <c r="B268" s="530" t="str">
        <f t="shared" si="21"/>
        <v/>
      </c>
      <c r="C268" s="546" t="str">
        <f t="shared" si="22"/>
        <v>-</v>
      </c>
      <c r="D268" s="546" t="str">
        <f t="shared" si="18"/>
        <v>-</v>
      </c>
      <c r="E268" s="546" t="str">
        <f>IF(B268="","-",SUM($D$18:D268))</f>
        <v>-</v>
      </c>
      <c r="F268" s="546" t="str">
        <f t="shared" si="19"/>
        <v>-</v>
      </c>
      <c r="G268" s="546" t="str">
        <f>IF(B268="","-",SUM($F$18:F268))</f>
        <v>-</v>
      </c>
      <c r="H268" s="546" t="str">
        <f t="shared" si="20"/>
        <v>-</v>
      </c>
    </row>
    <row r="269" spans="2:8" x14ac:dyDescent="0.2">
      <c r="B269" s="530" t="str">
        <f t="shared" si="21"/>
        <v/>
      </c>
      <c r="C269" s="546" t="str">
        <f t="shared" si="22"/>
        <v>-</v>
      </c>
      <c r="D269" s="546" t="str">
        <f t="shared" si="18"/>
        <v>-</v>
      </c>
      <c r="E269" s="546" t="str">
        <f>IF(B269="","-",SUM($D$18:D269))</f>
        <v>-</v>
      </c>
      <c r="F269" s="546" t="str">
        <f t="shared" si="19"/>
        <v>-</v>
      </c>
      <c r="G269" s="546" t="str">
        <f>IF(B269="","-",SUM($F$18:F269))</f>
        <v>-</v>
      </c>
      <c r="H269" s="546" t="str">
        <f t="shared" si="20"/>
        <v>-</v>
      </c>
    </row>
    <row r="270" spans="2:8" x14ac:dyDescent="0.2">
      <c r="B270" s="530" t="str">
        <f t="shared" si="21"/>
        <v/>
      </c>
      <c r="C270" s="546" t="str">
        <f t="shared" si="22"/>
        <v>-</v>
      </c>
      <c r="D270" s="546" t="str">
        <f t="shared" si="18"/>
        <v>-</v>
      </c>
      <c r="E270" s="546" t="str">
        <f>IF(B270="","-",SUM($D$18:D270))</f>
        <v>-</v>
      </c>
      <c r="F270" s="546" t="str">
        <f t="shared" si="19"/>
        <v>-</v>
      </c>
      <c r="G270" s="546" t="str">
        <f>IF(B270="","-",SUM($F$18:F270))</f>
        <v>-</v>
      </c>
      <c r="H270" s="546" t="str">
        <f t="shared" si="20"/>
        <v>-</v>
      </c>
    </row>
    <row r="271" spans="2:8" x14ac:dyDescent="0.2">
      <c r="B271" s="530" t="str">
        <f t="shared" si="21"/>
        <v/>
      </c>
      <c r="C271" s="546" t="str">
        <f t="shared" si="22"/>
        <v>-</v>
      </c>
      <c r="D271" s="546" t="str">
        <f t="shared" si="18"/>
        <v>-</v>
      </c>
      <c r="E271" s="546" t="str">
        <f>IF(B271="","-",SUM($D$18:D271))</f>
        <v>-</v>
      </c>
      <c r="F271" s="546" t="str">
        <f t="shared" si="19"/>
        <v>-</v>
      </c>
      <c r="G271" s="546" t="str">
        <f>IF(B271="","-",SUM($F$18:F271))</f>
        <v>-</v>
      </c>
      <c r="H271" s="546" t="str">
        <f t="shared" si="20"/>
        <v>-</v>
      </c>
    </row>
    <row r="272" spans="2:8" x14ac:dyDescent="0.2">
      <c r="B272" s="530" t="str">
        <f t="shared" si="21"/>
        <v/>
      </c>
      <c r="C272" s="546" t="str">
        <f t="shared" si="22"/>
        <v>-</v>
      </c>
      <c r="D272" s="546" t="str">
        <f t="shared" si="18"/>
        <v>-</v>
      </c>
      <c r="E272" s="546" t="str">
        <f>IF(B272="","-",SUM($D$18:D272))</f>
        <v>-</v>
      </c>
      <c r="F272" s="546" t="str">
        <f t="shared" si="19"/>
        <v>-</v>
      </c>
      <c r="G272" s="546" t="str">
        <f>IF(B272="","-",SUM($F$18:F272))</f>
        <v>-</v>
      </c>
      <c r="H272" s="546" t="str">
        <f t="shared" si="20"/>
        <v>-</v>
      </c>
    </row>
    <row r="273" spans="2:8" x14ac:dyDescent="0.2">
      <c r="B273" s="530" t="str">
        <f t="shared" si="21"/>
        <v/>
      </c>
      <c r="C273" s="546" t="str">
        <f t="shared" si="22"/>
        <v>-</v>
      </c>
      <c r="D273" s="546" t="str">
        <f t="shared" si="18"/>
        <v>-</v>
      </c>
      <c r="E273" s="546" t="str">
        <f>IF(B273="","-",SUM($D$18:D273))</f>
        <v>-</v>
      </c>
      <c r="F273" s="546" t="str">
        <f t="shared" si="19"/>
        <v>-</v>
      </c>
      <c r="G273" s="546" t="str">
        <f>IF(B273="","-",SUM($F$18:F273))</f>
        <v>-</v>
      </c>
      <c r="H273" s="546" t="str">
        <f t="shared" si="20"/>
        <v>-</v>
      </c>
    </row>
    <row r="274" spans="2:8" x14ac:dyDescent="0.2">
      <c r="B274" s="530" t="str">
        <f t="shared" si="21"/>
        <v/>
      </c>
      <c r="C274" s="546" t="str">
        <f t="shared" si="22"/>
        <v>-</v>
      </c>
      <c r="D274" s="546" t="str">
        <f t="shared" ref="D274:D337" si="23">IF(B274="","-",$D$4/12*H273)</f>
        <v>-</v>
      </c>
      <c r="E274" s="546" t="str">
        <f>IF(B274="","-",SUM($D$18:D274))</f>
        <v>-</v>
      </c>
      <c r="F274" s="546" t="str">
        <f t="shared" ref="F274:F337" si="24">IF(B274="","-",C274-D274)</f>
        <v>-</v>
      </c>
      <c r="G274" s="546" t="str">
        <f>IF(B274="","-",SUM($F$18:F274))</f>
        <v>-</v>
      </c>
      <c r="H274" s="546" t="str">
        <f t="shared" ref="H274:H337" si="25">IF(B274="","-",H273-F274)</f>
        <v>-</v>
      </c>
    </row>
    <row r="275" spans="2:8" x14ac:dyDescent="0.2">
      <c r="B275" s="530" t="str">
        <f t="shared" si="21"/>
        <v/>
      </c>
      <c r="C275" s="546" t="str">
        <f t="shared" si="22"/>
        <v>-</v>
      </c>
      <c r="D275" s="546" t="str">
        <f t="shared" si="23"/>
        <v>-</v>
      </c>
      <c r="E275" s="546" t="str">
        <f>IF(B275="","-",SUM($D$18:D275))</f>
        <v>-</v>
      </c>
      <c r="F275" s="546" t="str">
        <f t="shared" si="24"/>
        <v>-</v>
      </c>
      <c r="G275" s="546" t="str">
        <f>IF(B275="","-",SUM($F$18:F275))</f>
        <v>-</v>
      </c>
      <c r="H275" s="546" t="str">
        <f t="shared" si="25"/>
        <v>-</v>
      </c>
    </row>
    <row r="276" spans="2:8" x14ac:dyDescent="0.2">
      <c r="B276" s="530" t="str">
        <f t="shared" si="21"/>
        <v/>
      </c>
      <c r="C276" s="546" t="str">
        <f t="shared" si="22"/>
        <v>-</v>
      </c>
      <c r="D276" s="546" t="str">
        <f t="shared" si="23"/>
        <v>-</v>
      </c>
      <c r="E276" s="546" t="str">
        <f>IF(B276="","-",SUM($D$18:D276))</f>
        <v>-</v>
      </c>
      <c r="F276" s="546" t="str">
        <f t="shared" si="24"/>
        <v>-</v>
      </c>
      <c r="G276" s="546" t="str">
        <f>IF(B276="","-",SUM($F$18:F276))</f>
        <v>-</v>
      </c>
      <c r="H276" s="546" t="str">
        <f t="shared" si="25"/>
        <v>-</v>
      </c>
    </row>
    <row r="277" spans="2:8" x14ac:dyDescent="0.2">
      <c r="B277" s="530" t="str">
        <f t="shared" si="21"/>
        <v/>
      </c>
      <c r="C277" s="546" t="str">
        <f t="shared" si="22"/>
        <v>-</v>
      </c>
      <c r="D277" s="546" t="str">
        <f t="shared" si="23"/>
        <v>-</v>
      </c>
      <c r="E277" s="546" t="str">
        <f>IF(B277="","-",SUM($D$18:D277))</f>
        <v>-</v>
      </c>
      <c r="F277" s="546" t="str">
        <f t="shared" si="24"/>
        <v>-</v>
      </c>
      <c r="G277" s="546" t="str">
        <f>IF(B277="","-",SUM($F$18:F277))</f>
        <v>-</v>
      </c>
      <c r="H277" s="546" t="str">
        <f t="shared" si="25"/>
        <v>-</v>
      </c>
    </row>
    <row r="278" spans="2:8" x14ac:dyDescent="0.2">
      <c r="B278" s="530" t="str">
        <f t="shared" si="21"/>
        <v/>
      </c>
      <c r="C278" s="546" t="str">
        <f t="shared" si="22"/>
        <v>-</v>
      </c>
      <c r="D278" s="546" t="str">
        <f t="shared" si="23"/>
        <v>-</v>
      </c>
      <c r="E278" s="546" t="str">
        <f>IF(B278="","-",SUM($D$18:D278))</f>
        <v>-</v>
      </c>
      <c r="F278" s="546" t="str">
        <f t="shared" si="24"/>
        <v>-</v>
      </c>
      <c r="G278" s="546" t="str">
        <f>IF(B278="","-",SUM($F$18:F278))</f>
        <v>-</v>
      </c>
      <c r="H278" s="546" t="str">
        <f t="shared" si="25"/>
        <v>-</v>
      </c>
    </row>
    <row r="279" spans="2:8" x14ac:dyDescent="0.2">
      <c r="B279" s="530" t="str">
        <f t="shared" si="21"/>
        <v/>
      </c>
      <c r="C279" s="546" t="str">
        <f t="shared" si="22"/>
        <v>-</v>
      </c>
      <c r="D279" s="546" t="str">
        <f t="shared" si="23"/>
        <v>-</v>
      </c>
      <c r="E279" s="546" t="str">
        <f>IF(B279="","-",SUM($D$18:D279))</f>
        <v>-</v>
      </c>
      <c r="F279" s="546" t="str">
        <f t="shared" si="24"/>
        <v>-</v>
      </c>
      <c r="G279" s="546" t="str">
        <f>IF(B279="","-",SUM($F$18:F279))</f>
        <v>-</v>
      </c>
      <c r="H279" s="546" t="str">
        <f t="shared" si="25"/>
        <v>-</v>
      </c>
    </row>
    <row r="280" spans="2:8" x14ac:dyDescent="0.2">
      <c r="B280" s="530" t="str">
        <f t="shared" si="21"/>
        <v/>
      </c>
      <c r="C280" s="546" t="str">
        <f t="shared" si="22"/>
        <v>-</v>
      </c>
      <c r="D280" s="546" t="str">
        <f t="shared" si="23"/>
        <v>-</v>
      </c>
      <c r="E280" s="546" t="str">
        <f>IF(B280="","-",SUM($D$18:D280))</f>
        <v>-</v>
      </c>
      <c r="F280" s="546" t="str">
        <f t="shared" si="24"/>
        <v>-</v>
      </c>
      <c r="G280" s="546" t="str">
        <f>IF(B280="","-",SUM($F$18:F280))</f>
        <v>-</v>
      </c>
      <c r="H280" s="546" t="str">
        <f t="shared" si="25"/>
        <v>-</v>
      </c>
    </row>
    <row r="281" spans="2:8" x14ac:dyDescent="0.2">
      <c r="B281" s="530" t="str">
        <f t="shared" si="21"/>
        <v/>
      </c>
      <c r="C281" s="546" t="str">
        <f t="shared" si="22"/>
        <v>-</v>
      </c>
      <c r="D281" s="546" t="str">
        <f t="shared" si="23"/>
        <v>-</v>
      </c>
      <c r="E281" s="546" t="str">
        <f>IF(B281="","-",SUM($D$18:D281))</f>
        <v>-</v>
      </c>
      <c r="F281" s="546" t="str">
        <f t="shared" si="24"/>
        <v>-</v>
      </c>
      <c r="G281" s="546" t="str">
        <f>IF(B281="","-",SUM($F$18:F281))</f>
        <v>-</v>
      </c>
      <c r="H281" s="546" t="str">
        <f t="shared" si="25"/>
        <v>-</v>
      </c>
    </row>
    <row r="282" spans="2:8" x14ac:dyDescent="0.2">
      <c r="B282" s="530" t="str">
        <f t="shared" si="21"/>
        <v/>
      </c>
      <c r="C282" s="546" t="str">
        <f t="shared" si="22"/>
        <v>-</v>
      </c>
      <c r="D282" s="546" t="str">
        <f t="shared" si="23"/>
        <v>-</v>
      </c>
      <c r="E282" s="546" t="str">
        <f>IF(B282="","-",SUM($D$18:D282))</f>
        <v>-</v>
      </c>
      <c r="F282" s="546" t="str">
        <f t="shared" si="24"/>
        <v>-</v>
      </c>
      <c r="G282" s="546" t="str">
        <f>IF(B282="","-",SUM($F$18:F282))</f>
        <v>-</v>
      </c>
      <c r="H282" s="546" t="str">
        <f t="shared" si="25"/>
        <v>-</v>
      </c>
    </row>
    <row r="283" spans="2:8" x14ac:dyDescent="0.2">
      <c r="B283" s="530" t="str">
        <f t="shared" si="21"/>
        <v/>
      </c>
      <c r="C283" s="546" t="str">
        <f t="shared" si="22"/>
        <v>-</v>
      </c>
      <c r="D283" s="546" t="str">
        <f t="shared" si="23"/>
        <v>-</v>
      </c>
      <c r="E283" s="546" t="str">
        <f>IF(B283="","-",SUM($D$18:D283))</f>
        <v>-</v>
      </c>
      <c r="F283" s="546" t="str">
        <f t="shared" si="24"/>
        <v>-</v>
      </c>
      <c r="G283" s="546" t="str">
        <f>IF(B283="","-",SUM($F$18:F283))</f>
        <v>-</v>
      </c>
      <c r="H283" s="546" t="str">
        <f t="shared" si="25"/>
        <v>-</v>
      </c>
    </row>
    <row r="284" spans="2:8" x14ac:dyDescent="0.2">
      <c r="B284" s="530" t="str">
        <f t="shared" si="21"/>
        <v/>
      </c>
      <c r="C284" s="546" t="str">
        <f t="shared" si="22"/>
        <v>-</v>
      </c>
      <c r="D284" s="546" t="str">
        <f t="shared" si="23"/>
        <v>-</v>
      </c>
      <c r="E284" s="546" t="str">
        <f>IF(B284="","-",SUM($D$18:D284))</f>
        <v>-</v>
      </c>
      <c r="F284" s="546" t="str">
        <f t="shared" si="24"/>
        <v>-</v>
      </c>
      <c r="G284" s="546" t="str">
        <f>IF(B284="","-",SUM($F$18:F284))</f>
        <v>-</v>
      </c>
      <c r="H284" s="546" t="str">
        <f t="shared" si="25"/>
        <v>-</v>
      </c>
    </row>
    <row r="285" spans="2:8" x14ac:dyDescent="0.2">
      <c r="B285" s="530" t="str">
        <f t="shared" si="21"/>
        <v/>
      </c>
      <c r="C285" s="546" t="str">
        <f t="shared" si="22"/>
        <v>-</v>
      </c>
      <c r="D285" s="546" t="str">
        <f t="shared" si="23"/>
        <v>-</v>
      </c>
      <c r="E285" s="546" t="str">
        <f>IF(B285="","-",SUM($D$18:D285))</f>
        <v>-</v>
      </c>
      <c r="F285" s="546" t="str">
        <f t="shared" si="24"/>
        <v>-</v>
      </c>
      <c r="G285" s="546" t="str">
        <f>IF(B285="","-",SUM($F$18:F285))</f>
        <v>-</v>
      </c>
      <c r="H285" s="546" t="str">
        <f t="shared" si="25"/>
        <v>-</v>
      </c>
    </row>
    <row r="286" spans="2:8" x14ac:dyDescent="0.2">
      <c r="B286" s="530" t="str">
        <f t="shared" ref="B286:B349" si="26">IF(B285&gt;=$D$5*12,"",B285+1)</f>
        <v/>
      </c>
      <c r="C286" s="546" t="str">
        <f t="shared" si="22"/>
        <v>-</v>
      </c>
      <c r="D286" s="546" t="str">
        <f t="shared" si="23"/>
        <v>-</v>
      </c>
      <c r="E286" s="546" t="str">
        <f>IF(B286="","-",SUM($D$18:D286))</f>
        <v>-</v>
      </c>
      <c r="F286" s="546" t="str">
        <f t="shared" si="24"/>
        <v>-</v>
      </c>
      <c r="G286" s="546" t="str">
        <f>IF(B286="","-",SUM($F$18:F286))</f>
        <v>-</v>
      </c>
      <c r="H286" s="546" t="str">
        <f t="shared" si="25"/>
        <v>-</v>
      </c>
    </row>
    <row r="287" spans="2:8" x14ac:dyDescent="0.2">
      <c r="B287" s="530" t="str">
        <f t="shared" si="26"/>
        <v/>
      </c>
      <c r="C287" s="546" t="str">
        <f t="shared" si="22"/>
        <v>-</v>
      </c>
      <c r="D287" s="546" t="str">
        <f t="shared" si="23"/>
        <v>-</v>
      </c>
      <c r="E287" s="546" t="str">
        <f>IF(B287="","-",SUM($D$18:D287))</f>
        <v>-</v>
      </c>
      <c r="F287" s="546" t="str">
        <f t="shared" si="24"/>
        <v>-</v>
      </c>
      <c r="G287" s="546" t="str">
        <f>IF(B287="","-",SUM($F$18:F287))</f>
        <v>-</v>
      </c>
      <c r="H287" s="546" t="str">
        <f t="shared" si="25"/>
        <v>-</v>
      </c>
    </row>
    <row r="288" spans="2:8" x14ac:dyDescent="0.2">
      <c r="B288" s="530" t="str">
        <f t="shared" si="26"/>
        <v/>
      </c>
      <c r="C288" s="546" t="str">
        <f t="shared" si="22"/>
        <v>-</v>
      </c>
      <c r="D288" s="546" t="str">
        <f t="shared" si="23"/>
        <v>-</v>
      </c>
      <c r="E288" s="546" t="str">
        <f>IF(B288="","-",SUM($D$18:D288))</f>
        <v>-</v>
      </c>
      <c r="F288" s="546" t="str">
        <f t="shared" si="24"/>
        <v>-</v>
      </c>
      <c r="G288" s="546" t="str">
        <f>IF(B288="","-",SUM($F$18:F288))</f>
        <v>-</v>
      </c>
      <c r="H288" s="546" t="str">
        <f t="shared" si="25"/>
        <v>-</v>
      </c>
    </row>
    <row r="289" spans="2:8" x14ac:dyDescent="0.2">
      <c r="B289" s="530" t="str">
        <f t="shared" si="26"/>
        <v/>
      </c>
      <c r="C289" s="546" t="str">
        <f t="shared" si="22"/>
        <v>-</v>
      </c>
      <c r="D289" s="546" t="str">
        <f t="shared" si="23"/>
        <v>-</v>
      </c>
      <c r="E289" s="546" t="str">
        <f>IF(B289="","-",SUM($D$18:D289))</f>
        <v>-</v>
      </c>
      <c r="F289" s="546" t="str">
        <f t="shared" si="24"/>
        <v>-</v>
      </c>
      <c r="G289" s="546" t="str">
        <f>IF(B289="","-",SUM($F$18:F289))</f>
        <v>-</v>
      </c>
      <c r="H289" s="546" t="str">
        <f t="shared" si="25"/>
        <v>-</v>
      </c>
    </row>
    <row r="290" spans="2:8" x14ac:dyDescent="0.2">
      <c r="B290" s="530" t="str">
        <f t="shared" si="26"/>
        <v/>
      </c>
      <c r="C290" s="546" t="str">
        <f t="shared" si="22"/>
        <v>-</v>
      </c>
      <c r="D290" s="546" t="str">
        <f t="shared" si="23"/>
        <v>-</v>
      </c>
      <c r="E290" s="546" t="str">
        <f>IF(B290="","-",SUM($D$18:D290))</f>
        <v>-</v>
      </c>
      <c r="F290" s="546" t="str">
        <f t="shared" si="24"/>
        <v>-</v>
      </c>
      <c r="G290" s="546" t="str">
        <f>IF(B290="","-",SUM($F$18:F290))</f>
        <v>-</v>
      </c>
      <c r="H290" s="546" t="str">
        <f t="shared" si="25"/>
        <v>-</v>
      </c>
    </row>
    <row r="291" spans="2:8" x14ac:dyDescent="0.2">
      <c r="B291" s="530" t="str">
        <f t="shared" si="26"/>
        <v/>
      </c>
      <c r="C291" s="546" t="str">
        <f t="shared" si="22"/>
        <v>-</v>
      </c>
      <c r="D291" s="546" t="str">
        <f t="shared" si="23"/>
        <v>-</v>
      </c>
      <c r="E291" s="546" t="str">
        <f>IF(B291="","-",SUM($D$18:D291))</f>
        <v>-</v>
      </c>
      <c r="F291" s="546" t="str">
        <f t="shared" si="24"/>
        <v>-</v>
      </c>
      <c r="G291" s="546" t="str">
        <f>IF(B291="","-",SUM($F$18:F291))</f>
        <v>-</v>
      </c>
      <c r="H291" s="546" t="str">
        <f t="shared" si="25"/>
        <v>-</v>
      </c>
    </row>
    <row r="292" spans="2:8" x14ac:dyDescent="0.2">
      <c r="B292" s="530" t="str">
        <f t="shared" si="26"/>
        <v/>
      </c>
      <c r="C292" s="546" t="str">
        <f t="shared" si="22"/>
        <v>-</v>
      </c>
      <c r="D292" s="546" t="str">
        <f t="shared" si="23"/>
        <v>-</v>
      </c>
      <c r="E292" s="546" t="str">
        <f>IF(B292="","-",SUM($D$18:D292))</f>
        <v>-</v>
      </c>
      <c r="F292" s="546" t="str">
        <f t="shared" si="24"/>
        <v>-</v>
      </c>
      <c r="G292" s="546" t="str">
        <f>IF(B292="","-",SUM($F$18:F292))</f>
        <v>-</v>
      </c>
      <c r="H292" s="546" t="str">
        <f t="shared" si="25"/>
        <v>-</v>
      </c>
    </row>
    <row r="293" spans="2:8" x14ac:dyDescent="0.2">
      <c r="B293" s="530" t="str">
        <f t="shared" si="26"/>
        <v/>
      </c>
      <c r="C293" s="546" t="str">
        <f t="shared" si="22"/>
        <v>-</v>
      </c>
      <c r="D293" s="546" t="str">
        <f t="shared" si="23"/>
        <v>-</v>
      </c>
      <c r="E293" s="546" t="str">
        <f>IF(B293="","-",SUM($D$18:D293))</f>
        <v>-</v>
      </c>
      <c r="F293" s="546" t="str">
        <f t="shared" si="24"/>
        <v>-</v>
      </c>
      <c r="G293" s="546" t="str">
        <f>IF(B293="","-",SUM($F$18:F293))</f>
        <v>-</v>
      </c>
      <c r="H293" s="546" t="str">
        <f t="shared" si="25"/>
        <v>-</v>
      </c>
    </row>
    <row r="294" spans="2:8" x14ac:dyDescent="0.2">
      <c r="B294" s="530" t="str">
        <f t="shared" si="26"/>
        <v/>
      </c>
      <c r="C294" s="546" t="str">
        <f t="shared" si="22"/>
        <v>-</v>
      </c>
      <c r="D294" s="546" t="str">
        <f t="shared" si="23"/>
        <v>-</v>
      </c>
      <c r="E294" s="546" t="str">
        <f>IF(B294="","-",SUM($D$18:D294))</f>
        <v>-</v>
      </c>
      <c r="F294" s="546" t="str">
        <f t="shared" si="24"/>
        <v>-</v>
      </c>
      <c r="G294" s="546" t="str">
        <f>IF(B294="","-",SUM($F$18:F294))</f>
        <v>-</v>
      </c>
      <c r="H294" s="546" t="str">
        <f t="shared" si="25"/>
        <v>-</v>
      </c>
    </row>
    <row r="295" spans="2:8" x14ac:dyDescent="0.2">
      <c r="B295" s="530" t="str">
        <f t="shared" si="26"/>
        <v/>
      </c>
      <c r="C295" s="546" t="str">
        <f t="shared" si="22"/>
        <v>-</v>
      </c>
      <c r="D295" s="546" t="str">
        <f t="shared" si="23"/>
        <v>-</v>
      </c>
      <c r="E295" s="546" t="str">
        <f>IF(B295="","-",SUM($D$18:D295))</f>
        <v>-</v>
      </c>
      <c r="F295" s="546" t="str">
        <f t="shared" si="24"/>
        <v>-</v>
      </c>
      <c r="G295" s="546" t="str">
        <f>IF(B295="","-",SUM($F$18:F295))</f>
        <v>-</v>
      </c>
      <c r="H295" s="546" t="str">
        <f t="shared" si="25"/>
        <v>-</v>
      </c>
    </row>
    <row r="296" spans="2:8" x14ac:dyDescent="0.2">
      <c r="B296" s="530" t="str">
        <f t="shared" si="26"/>
        <v/>
      </c>
      <c r="C296" s="546" t="str">
        <f t="shared" si="22"/>
        <v>-</v>
      </c>
      <c r="D296" s="546" t="str">
        <f t="shared" si="23"/>
        <v>-</v>
      </c>
      <c r="E296" s="546" t="str">
        <f>IF(B296="","-",SUM($D$18:D296))</f>
        <v>-</v>
      </c>
      <c r="F296" s="546" t="str">
        <f t="shared" si="24"/>
        <v>-</v>
      </c>
      <c r="G296" s="546" t="str">
        <f>IF(B296="","-",SUM($F$18:F296))</f>
        <v>-</v>
      </c>
      <c r="H296" s="546" t="str">
        <f t="shared" si="25"/>
        <v>-</v>
      </c>
    </row>
    <row r="297" spans="2:8" x14ac:dyDescent="0.2">
      <c r="B297" s="530" t="str">
        <f t="shared" si="26"/>
        <v/>
      </c>
      <c r="C297" s="546" t="str">
        <f t="shared" si="22"/>
        <v>-</v>
      </c>
      <c r="D297" s="546" t="str">
        <f t="shared" si="23"/>
        <v>-</v>
      </c>
      <c r="E297" s="546" t="str">
        <f>IF(B297="","-",SUM($D$18:D297))</f>
        <v>-</v>
      </c>
      <c r="F297" s="546" t="str">
        <f t="shared" si="24"/>
        <v>-</v>
      </c>
      <c r="G297" s="546" t="str">
        <f>IF(B297="","-",SUM($F$18:F297))</f>
        <v>-</v>
      </c>
      <c r="H297" s="546" t="str">
        <f t="shared" si="25"/>
        <v>-</v>
      </c>
    </row>
    <row r="298" spans="2:8" x14ac:dyDescent="0.2">
      <c r="B298" s="530" t="str">
        <f t="shared" si="26"/>
        <v/>
      </c>
      <c r="C298" s="546" t="str">
        <f t="shared" si="22"/>
        <v>-</v>
      </c>
      <c r="D298" s="546" t="str">
        <f t="shared" si="23"/>
        <v>-</v>
      </c>
      <c r="E298" s="546" t="str">
        <f>IF(B298="","-",SUM($D$18:D298))</f>
        <v>-</v>
      </c>
      <c r="F298" s="546" t="str">
        <f t="shared" si="24"/>
        <v>-</v>
      </c>
      <c r="G298" s="546" t="str">
        <f>IF(B298="","-",SUM($F$18:F298))</f>
        <v>-</v>
      </c>
      <c r="H298" s="546" t="str">
        <f t="shared" si="25"/>
        <v>-</v>
      </c>
    </row>
    <row r="299" spans="2:8" x14ac:dyDescent="0.2">
      <c r="B299" s="530" t="str">
        <f t="shared" si="26"/>
        <v/>
      </c>
      <c r="C299" s="546" t="str">
        <f t="shared" si="22"/>
        <v>-</v>
      </c>
      <c r="D299" s="546" t="str">
        <f t="shared" si="23"/>
        <v>-</v>
      </c>
      <c r="E299" s="546" t="str">
        <f>IF(B299="","-",SUM($D$18:D299))</f>
        <v>-</v>
      </c>
      <c r="F299" s="546" t="str">
        <f t="shared" si="24"/>
        <v>-</v>
      </c>
      <c r="G299" s="546" t="str">
        <f>IF(B299="","-",SUM($F$18:F299))</f>
        <v>-</v>
      </c>
      <c r="H299" s="546" t="str">
        <f t="shared" si="25"/>
        <v>-</v>
      </c>
    </row>
    <row r="300" spans="2:8" x14ac:dyDescent="0.2">
      <c r="B300" s="530" t="str">
        <f t="shared" si="26"/>
        <v/>
      </c>
      <c r="C300" s="546" t="str">
        <f t="shared" si="22"/>
        <v>-</v>
      </c>
      <c r="D300" s="546" t="str">
        <f t="shared" si="23"/>
        <v>-</v>
      </c>
      <c r="E300" s="546" t="str">
        <f>IF(B300="","-",SUM($D$18:D300))</f>
        <v>-</v>
      </c>
      <c r="F300" s="546" t="str">
        <f t="shared" si="24"/>
        <v>-</v>
      </c>
      <c r="G300" s="546" t="str">
        <f>IF(B300="","-",SUM($F$18:F300))</f>
        <v>-</v>
      </c>
      <c r="H300" s="546" t="str">
        <f t="shared" si="25"/>
        <v>-</v>
      </c>
    </row>
    <row r="301" spans="2:8" x14ac:dyDescent="0.2">
      <c r="B301" s="530" t="str">
        <f t="shared" si="26"/>
        <v/>
      </c>
      <c r="C301" s="546" t="str">
        <f t="shared" si="22"/>
        <v>-</v>
      </c>
      <c r="D301" s="546" t="str">
        <f t="shared" si="23"/>
        <v>-</v>
      </c>
      <c r="E301" s="546" t="str">
        <f>IF(B301="","-",SUM($D$18:D301))</f>
        <v>-</v>
      </c>
      <c r="F301" s="546" t="str">
        <f t="shared" si="24"/>
        <v>-</v>
      </c>
      <c r="G301" s="546" t="str">
        <f>IF(B301="","-",SUM($F$18:F301))</f>
        <v>-</v>
      </c>
      <c r="H301" s="546" t="str">
        <f t="shared" si="25"/>
        <v>-</v>
      </c>
    </row>
    <row r="302" spans="2:8" x14ac:dyDescent="0.2">
      <c r="B302" s="530" t="str">
        <f t="shared" si="26"/>
        <v/>
      </c>
      <c r="C302" s="546" t="str">
        <f t="shared" si="22"/>
        <v>-</v>
      </c>
      <c r="D302" s="546" t="str">
        <f t="shared" si="23"/>
        <v>-</v>
      </c>
      <c r="E302" s="546" t="str">
        <f>IF(B302="","-",SUM($D$18:D302))</f>
        <v>-</v>
      </c>
      <c r="F302" s="546" t="str">
        <f t="shared" si="24"/>
        <v>-</v>
      </c>
      <c r="G302" s="546" t="str">
        <f>IF(B302="","-",SUM($F$18:F302))</f>
        <v>-</v>
      </c>
      <c r="H302" s="546" t="str">
        <f t="shared" si="25"/>
        <v>-</v>
      </c>
    </row>
    <row r="303" spans="2:8" x14ac:dyDescent="0.2">
      <c r="B303" s="530" t="str">
        <f t="shared" si="26"/>
        <v/>
      </c>
      <c r="C303" s="546" t="str">
        <f t="shared" si="22"/>
        <v>-</v>
      </c>
      <c r="D303" s="546" t="str">
        <f t="shared" si="23"/>
        <v>-</v>
      </c>
      <c r="E303" s="546" t="str">
        <f>IF(B303="","-",SUM($D$18:D303))</f>
        <v>-</v>
      </c>
      <c r="F303" s="546" t="str">
        <f t="shared" si="24"/>
        <v>-</v>
      </c>
      <c r="G303" s="546" t="str">
        <f>IF(B303="","-",SUM($F$18:F303))</f>
        <v>-</v>
      </c>
      <c r="H303" s="546" t="str">
        <f t="shared" si="25"/>
        <v>-</v>
      </c>
    </row>
    <row r="304" spans="2:8" x14ac:dyDescent="0.2">
      <c r="B304" s="530" t="str">
        <f t="shared" si="26"/>
        <v/>
      </c>
      <c r="C304" s="546" t="str">
        <f t="shared" si="22"/>
        <v>-</v>
      </c>
      <c r="D304" s="546" t="str">
        <f t="shared" si="23"/>
        <v>-</v>
      </c>
      <c r="E304" s="546" t="str">
        <f>IF(B304="","-",SUM($D$18:D304))</f>
        <v>-</v>
      </c>
      <c r="F304" s="546" t="str">
        <f t="shared" si="24"/>
        <v>-</v>
      </c>
      <c r="G304" s="546" t="str">
        <f>IF(B304="","-",SUM($F$18:F304))</f>
        <v>-</v>
      </c>
      <c r="H304" s="546" t="str">
        <f t="shared" si="25"/>
        <v>-</v>
      </c>
    </row>
    <row r="305" spans="2:8" x14ac:dyDescent="0.2">
      <c r="B305" s="530" t="str">
        <f t="shared" si="26"/>
        <v/>
      </c>
      <c r="C305" s="546" t="str">
        <f t="shared" si="22"/>
        <v>-</v>
      </c>
      <c r="D305" s="546" t="str">
        <f t="shared" si="23"/>
        <v>-</v>
      </c>
      <c r="E305" s="546" t="str">
        <f>IF(B305="","-",SUM($D$18:D305))</f>
        <v>-</v>
      </c>
      <c r="F305" s="546" t="str">
        <f t="shared" si="24"/>
        <v>-</v>
      </c>
      <c r="G305" s="546" t="str">
        <f>IF(B305="","-",SUM($F$18:F305))</f>
        <v>-</v>
      </c>
      <c r="H305" s="546" t="str">
        <f t="shared" si="25"/>
        <v>-</v>
      </c>
    </row>
    <row r="306" spans="2:8" x14ac:dyDescent="0.2">
      <c r="B306" s="530" t="str">
        <f t="shared" si="26"/>
        <v/>
      </c>
      <c r="C306" s="546" t="str">
        <f t="shared" si="22"/>
        <v>-</v>
      </c>
      <c r="D306" s="546" t="str">
        <f t="shared" si="23"/>
        <v>-</v>
      </c>
      <c r="E306" s="546" t="str">
        <f>IF(B306="","-",SUM($D$18:D306))</f>
        <v>-</v>
      </c>
      <c r="F306" s="546" t="str">
        <f t="shared" si="24"/>
        <v>-</v>
      </c>
      <c r="G306" s="546" t="str">
        <f>IF(B306="","-",SUM($F$18:F306))</f>
        <v>-</v>
      </c>
      <c r="H306" s="546" t="str">
        <f t="shared" si="25"/>
        <v>-</v>
      </c>
    </row>
    <row r="307" spans="2:8" x14ac:dyDescent="0.2">
      <c r="B307" s="530" t="str">
        <f t="shared" si="26"/>
        <v/>
      </c>
      <c r="C307" s="546" t="str">
        <f t="shared" si="22"/>
        <v>-</v>
      </c>
      <c r="D307" s="546" t="str">
        <f t="shared" si="23"/>
        <v>-</v>
      </c>
      <c r="E307" s="546" t="str">
        <f>IF(B307="","-",SUM($D$18:D307))</f>
        <v>-</v>
      </c>
      <c r="F307" s="546" t="str">
        <f t="shared" si="24"/>
        <v>-</v>
      </c>
      <c r="G307" s="546" t="str">
        <f>IF(B307="","-",SUM($F$18:F307))</f>
        <v>-</v>
      </c>
      <c r="H307" s="546" t="str">
        <f t="shared" si="25"/>
        <v>-</v>
      </c>
    </row>
    <row r="308" spans="2:8" x14ac:dyDescent="0.2">
      <c r="B308" s="530" t="str">
        <f t="shared" si="26"/>
        <v/>
      </c>
      <c r="C308" s="546" t="str">
        <f t="shared" si="22"/>
        <v>-</v>
      </c>
      <c r="D308" s="546" t="str">
        <f t="shared" si="23"/>
        <v>-</v>
      </c>
      <c r="E308" s="546" t="str">
        <f>IF(B308="","-",SUM($D$18:D308))</f>
        <v>-</v>
      </c>
      <c r="F308" s="546" t="str">
        <f t="shared" si="24"/>
        <v>-</v>
      </c>
      <c r="G308" s="546" t="str">
        <f>IF(B308="","-",SUM($F$18:F308))</f>
        <v>-</v>
      </c>
      <c r="H308" s="546" t="str">
        <f t="shared" si="25"/>
        <v>-</v>
      </c>
    </row>
    <row r="309" spans="2:8" x14ac:dyDescent="0.2">
      <c r="B309" s="530" t="str">
        <f t="shared" si="26"/>
        <v/>
      </c>
      <c r="C309" s="546" t="str">
        <f t="shared" si="22"/>
        <v>-</v>
      </c>
      <c r="D309" s="546" t="str">
        <f t="shared" si="23"/>
        <v>-</v>
      </c>
      <c r="E309" s="546" t="str">
        <f>IF(B309="","-",SUM($D$18:D309))</f>
        <v>-</v>
      </c>
      <c r="F309" s="546" t="str">
        <f t="shared" si="24"/>
        <v>-</v>
      </c>
      <c r="G309" s="546" t="str">
        <f>IF(B309="","-",SUM($F$18:F309))</f>
        <v>-</v>
      </c>
      <c r="H309" s="546" t="str">
        <f t="shared" si="25"/>
        <v>-</v>
      </c>
    </row>
    <row r="310" spans="2:8" x14ac:dyDescent="0.2">
      <c r="B310" s="530" t="str">
        <f t="shared" si="26"/>
        <v/>
      </c>
      <c r="C310" s="546" t="str">
        <f t="shared" si="22"/>
        <v>-</v>
      </c>
      <c r="D310" s="546" t="str">
        <f t="shared" si="23"/>
        <v>-</v>
      </c>
      <c r="E310" s="546" t="str">
        <f>IF(B310="","-",SUM($D$18:D310))</f>
        <v>-</v>
      </c>
      <c r="F310" s="546" t="str">
        <f t="shared" si="24"/>
        <v>-</v>
      </c>
      <c r="G310" s="546" t="str">
        <f>IF(B310="","-",SUM($F$18:F310))</f>
        <v>-</v>
      </c>
      <c r="H310" s="546" t="str">
        <f t="shared" si="25"/>
        <v>-</v>
      </c>
    </row>
    <row r="311" spans="2:8" x14ac:dyDescent="0.2">
      <c r="B311" s="530" t="str">
        <f t="shared" si="26"/>
        <v/>
      </c>
      <c r="C311" s="546" t="str">
        <f t="shared" si="22"/>
        <v>-</v>
      </c>
      <c r="D311" s="546" t="str">
        <f t="shared" si="23"/>
        <v>-</v>
      </c>
      <c r="E311" s="546" t="str">
        <f>IF(B311="","-",SUM($D$18:D311))</f>
        <v>-</v>
      </c>
      <c r="F311" s="546" t="str">
        <f t="shared" si="24"/>
        <v>-</v>
      </c>
      <c r="G311" s="546" t="str">
        <f>IF(B311="","-",SUM($F$18:F311))</f>
        <v>-</v>
      </c>
      <c r="H311" s="546" t="str">
        <f t="shared" si="25"/>
        <v>-</v>
      </c>
    </row>
    <row r="312" spans="2:8" x14ac:dyDescent="0.2">
      <c r="B312" s="530" t="str">
        <f t="shared" si="26"/>
        <v/>
      </c>
      <c r="C312" s="546" t="str">
        <f t="shared" si="22"/>
        <v>-</v>
      </c>
      <c r="D312" s="546" t="str">
        <f t="shared" si="23"/>
        <v>-</v>
      </c>
      <c r="E312" s="546" t="str">
        <f>IF(B312="","-",SUM($D$18:D312))</f>
        <v>-</v>
      </c>
      <c r="F312" s="546" t="str">
        <f t="shared" si="24"/>
        <v>-</v>
      </c>
      <c r="G312" s="546" t="str">
        <f>IF(B312="","-",SUM($F$18:F312))</f>
        <v>-</v>
      </c>
      <c r="H312" s="546" t="str">
        <f t="shared" si="25"/>
        <v>-</v>
      </c>
    </row>
    <row r="313" spans="2:8" x14ac:dyDescent="0.2">
      <c r="B313" s="530" t="str">
        <f t="shared" si="26"/>
        <v/>
      </c>
      <c r="C313" s="546" t="str">
        <f t="shared" si="22"/>
        <v>-</v>
      </c>
      <c r="D313" s="546" t="str">
        <f t="shared" si="23"/>
        <v>-</v>
      </c>
      <c r="E313" s="546" t="str">
        <f>IF(B313="","-",SUM($D$18:D313))</f>
        <v>-</v>
      </c>
      <c r="F313" s="546" t="str">
        <f t="shared" si="24"/>
        <v>-</v>
      </c>
      <c r="G313" s="546" t="str">
        <f>IF(B313="","-",SUM($F$18:F313))</f>
        <v>-</v>
      </c>
      <c r="H313" s="546" t="str">
        <f t="shared" si="25"/>
        <v>-</v>
      </c>
    </row>
    <row r="314" spans="2:8" x14ac:dyDescent="0.2">
      <c r="B314" s="530" t="str">
        <f t="shared" si="26"/>
        <v/>
      </c>
      <c r="C314" s="546" t="str">
        <f t="shared" si="22"/>
        <v>-</v>
      </c>
      <c r="D314" s="546" t="str">
        <f t="shared" si="23"/>
        <v>-</v>
      </c>
      <c r="E314" s="546" t="str">
        <f>IF(B314="","-",SUM($D$18:D314))</f>
        <v>-</v>
      </c>
      <c r="F314" s="546" t="str">
        <f t="shared" si="24"/>
        <v>-</v>
      </c>
      <c r="G314" s="546" t="str">
        <f>IF(B314="","-",SUM($F$18:F314))</f>
        <v>-</v>
      </c>
      <c r="H314" s="546" t="str">
        <f t="shared" si="25"/>
        <v>-</v>
      </c>
    </row>
    <row r="315" spans="2:8" x14ac:dyDescent="0.2">
      <c r="B315" s="530" t="str">
        <f t="shared" si="26"/>
        <v/>
      </c>
      <c r="C315" s="546" t="str">
        <f t="shared" si="22"/>
        <v>-</v>
      </c>
      <c r="D315" s="546" t="str">
        <f t="shared" si="23"/>
        <v>-</v>
      </c>
      <c r="E315" s="546" t="str">
        <f>IF(B315="","-",SUM($D$18:D315))</f>
        <v>-</v>
      </c>
      <c r="F315" s="546" t="str">
        <f t="shared" si="24"/>
        <v>-</v>
      </c>
      <c r="G315" s="546" t="str">
        <f>IF(B315="","-",SUM($F$18:F315))</f>
        <v>-</v>
      </c>
      <c r="H315" s="546" t="str">
        <f t="shared" si="25"/>
        <v>-</v>
      </c>
    </row>
    <row r="316" spans="2:8" x14ac:dyDescent="0.2">
      <c r="B316" s="530" t="str">
        <f t="shared" si="26"/>
        <v/>
      </c>
      <c r="C316" s="546" t="str">
        <f t="shared" si="22"/>
        <v>-</v>
      </c>
      <c r="D316" s="546" t="str">
        <f t="shared" si="23"/>
        <v>-</v>
      </c>
      <c r="E316" s="546" t="str">
        <f>IF(B316="","-",SUM($D$18:D316))</f>
        <v>-</v>
      </c>
      <c r="F316" s="546" t="str">
        <f t="shared" si="24"/>
        <v>-</v>
      </c>
      <c r="G316" s="546" t="str">
        <f>IF(B316="","-",SUM($F$18:F316))</f>
        <v>-</v>
      </c>
      <c r="H316" s="546" t="str">
        <f t="shared" si="25"/>
        <v>-</v>
      </c>
    </row>
    <row r="317" spans="2:8" x14ac:dyDescent="0.2">
      <c r="B317" s="530" t="str">
        <f t="shared" si="26"/>
        <v/>
      </c>
      <c r="C317" s="546" t="str">
        <f t="shared" si="22"/>
        <v>-</v>
      </c>
      <c r="D317" s="546" t="str">
        <f t="shared" si="23"/>
        <v>-</v>
      </c>
      <c r="E317" s="546" t="str">
        <f>IF(B317="","-",SUM($D$18:D317))</f>
        <v>-</v>
      </c>
      <c r="F317" s="546" t="str">
        <f t="shared" si="24"/>
        <v>-</v>
      </c>
      <c r="G317" s="546" t="str">
        <f>IF(B317="","-",SUM($F$18:F317))</f>
        <v>-</v>
      </c>
      <c r="H317" s="546" t="str">
        <f t="shared" si="25"/>
        <v>-</v>
      </c>
    </row>
    <row r="318" spans="2:8" x14ac:dyDescent="0.2">
      <c r="B318" s="530" t="str">
        <f t="shared" si="26"/>
        <v/>
      </c>
      <c r="C318" s="546" t="str">
        <f t="shared" si="22"/>
        <v>-</v>
      </c>
      <c r="D318" s="546" t="str">
        <f t="shared" si="23"/>
        <v>-</v>
      </c>
      <c r="E318" s="546" t="str">
        <f>IF(B318="","-",SUM($D$18:D318))</f>
        <v>-</v>
      </c>
      <c r="F318" s="546" t="str">
        <f t="shared" si="24"/>
        <v>-</v>
      </c>
      <c r="G318" s="546" t="str">
        <f>IF(B318="","-",SUM($F$18:F318))</f>
        <v>-</v>
      </c>
      <c r="H318" s="546" t="str">
        <f t="shared" si="25"/>
        <v>-</v>
      </c>
    </row>
    <row r="319" spans="2:8" x14ac:dyDescent="0.2">
      <c r="B319" s="530" t="str">
        <f t="shared" si="26"/>
        <v/>
      </c>
      <c r="C319" s="546" t="str">
        <f t="shared" si="22"/>
        <v>-</v>
      </c>
      <c r="D319" s="546" t="str">
        <f t="shared" si="23"/>
        <v>-</v>
      </c>
      <c r="E319" s="546" t="str">
        <f>IF(B319="","-",SUM($D$18:D319))</f>
        <v>-</v>
      </c>
      <c r="F319" s="546" t="str">
        <f t="shared" si="24"/>
        <v>-</v>
      </c>
      <c r="G319" s="546" t="str">
        <f>IF(B319="","-",SUM($F$18:F319))</f>
        <v>-</v>
      </c>
      <c r="H319" s="546" t="str">
        <f t="shared" si="25"/>
        <v>-</v>
      </c>
    </row>
    <row r="320" spans="2:8" x14ac:dyDescent="0.2">
      <c r="B320" s="530" t="str">
        <f t="shared" si="26"/>
        <v/>
      </c>
      <c r="C320" s="546" t="str">
        <f t="shared" si="22"/>
        <v>-</v>
      </c>
      <c r="D320" s="546" t="str">
        <f t="shared" si="23"/>
        <v>-</v>
      </c>
      <c r="E320" s="546" t="str">
        <f>IF(B320="","-",SUM($D$18:D320))</f>
        <v>-</v>
      </c>
      <c r="F320" s="546" t="str">
        <f t="shared" si="24"/>
        <v>-</v>
      </c>
      <c r="G320" s="546" t="str">
        <f>IF(B320="","-",SUM($F$18:F320))</f>
        <v>-</v>
      </c>
      <c r="H320" s="546" t="str">
        <f t="shared" si="25"/>
        <v>-</v>
      </c>
    </row>
    <row r="321" spans="2:8" x14ac:dyDescent="0.2">
      <c r="B321" s="530" t="str">
        <f t="shared" si="26"/>
        <v/>
      </c>
      <c r="C321" s="546" t="str">
        <f t="shared" si="22"/>
        <v>-</v>
      </c>
      <c r="D321" s="546" t="str">
        <f t="shared" si="23"/>
        <v>-</v>
      </c>
      <c r="E321" s="546" t="str">
        <f>IF(B321="","-",SUM($D$18:D321))</f>
        <v>-</v>
      </c>
      <c r="F321" s="546" t="str">
        <f t="shared" si="24"/>
        <v>-</v>
      </c>
      <c r="G321" s="546" t="str">
        <f>IF(B321="","-",SUM($F$18:F321))</f>
        <v>-</v>
      </c>
      <c r="H321" s="546" t="str">
        <f t="shared" si="25"/>
        <v>-</v>
      </c>
    </row>
    <row r="322" spans="2:8" x14ac:dyDescent="0.2">
      <c r="B322" s="530" t="str">
        <f t="shared" si="26"/>
        <v/>
      </c>
      <c r="C322" s="546" t="str">
        <f t="shared" ref="C322:C378" si="27">IF(B322="","-",$D$7)</f>
        <v>-</v>
      </c>
      <c r="D322" s="546" t="str">
        <f t="shared" si="23"/>
        <v>-</v>
      </c>
      <c r="E322" s="546" t="str">
        <f>IF(B322="","-",SUM($D$18:D322))</f>
        <v>-</v>
      </c>
      <c r="F322" s="546" t="str">
        <f t="shared" si="24"/>
        <v>-</v>
      </c>
      <c r="G322" s="546" t="str">
        <f>IF(B322="","-",SUM($F$18:F322))</f>
        <v>-</v>
      </c>
      <c r="H322" s="546" t="str">
        <f t="shared" si="25"/>
        <v>-</v>
      </c>
    </row>
    <row r="323" spans="2:8" x14ac:dyDescent="0.2">
      <c r="B323" s="530" t="str">
        <f t="shared" si="26"/>
        <v/>
      </c>
      <c r="C323" s="546" t="str">
        <f t="shared" si="27"/>
        <v>-</v>
      </c>
      <c r="D323" s="546" t="str">
        <f t="shared" si="23"/>
        <v>-</v>
      </c>
      <c r="E323" s="546" t="str">
        <f>IF(B323="","-",SUM($D$18:D323))</f>
        <v>-</v>
      </c>
      <c r="F323" s="546" t="str">
        <f t="shared" si="24"/>
        <v>-</v>
      </c>
      <c r="G323" s="546" t="str">
        <f>IF(B323="","-",SUM($F$18:F323))</f>
        <v>-</v>
      </c>
      <c r="H323" s="546" t="str">
        <f t="shared" si="25"/>
        <v>-</v>
      </c>
    </row>
    <row r="324" spans="2:8" x14ac:dyDescent="0.2">
      <c r="B324" s="530" t="str">
        <f t="shared" si="26"/>
        <v/>
      </c>
      <c r="C324" s="546" t="str">
        <f t="shared" si="27"/>
        <v>-</v>
      </c>
      <c r="D324" s="546" t="str">
        <f t="shared" si="23"/>
        <v>-</v>
      </c>
      <c r="E324" s="546" t="str">
        <f>IF(B324="","-",SUM($D$18:D324))</f>
        <v>-</v>
      </c>
      <c r="F324" s="546" t="str">
        <f t="shared" si="24"/>
        <v>-</v>
      </c>
      <c r="G324" s="546" t="str">
        <f>IF(B324="","-",SUM($F$18:F324))</f>
        <v>-</v>
      </c>
      <c r="H324" s="546" t="str">
        <f t="shared" si="25"/>
        <v>-</v>
      </c>
    </row>
    <row r="325" spans="2:8" x14ac:dyDescent="0.2">
      <c r="B325" s="530" t="str">
        <f t="shared" si="26"/>
        <v/>
      </c>
      <c r="C325" s="546" t="str">
        <f t="shared" si="27"/>
        <v>-</v>
      </c>
      <c r="D325" s="546" t="str">
        <f t="shared" si="23"/>
        <v>-</v>
      </c>
      <c r="E325" s="546" t="str">
        <f>IF(B325="","-",SUM($D$18:D325))</f>
        <v>-</v>
      </c>
      <c r="F325" s="546" t="str">
        <f t="shared" si="24"/>
        <v>-</v>
      </c>
      <c r="G325" s="546" t="str">
        <f>IF(B325="","-",SUM($F$18:F325))</f>
        <v>-</v>
      </c>
      <c r="H325" s="546" t="str">
        <f t="shared" si="25"/>
        <v>-</v>
      </c>
    </row>
    <row r="326" spans="2:8" x14ac:dyDescent="0.2">
      <c r="B326" s="530" t="str">
        <f t="shared" si="26"/>
        <v/>
      </c>
      <c r="C326" s="546" t="str">
        <f t="shared" si="27"/>
        <v>-</v>
      </c>
      <c r="D326" s="546" t="str">
        <f t="shared" si="23"/>
        <v>-</v>
      </c>
      <c r="E326" s="546" t="str">
        <f>IF(B326="","-",SUM($D$18:D326))</f>
        <v>-</v>
      </c>
      <c r="F326" s="546" t="str">
        <f t="shared" si="24"/>
        <v>-</v>
      </c>
      <c r="G326" s="546" t="str">
        <f>IF(B326="","-",SUM($F$18:F326))</f>
        <v>-</v>
      </c>
      <c r="H326" s="546" t="str">
        <f t="shared" si="25"/>
        <v>-</v>
      </c>
    </row>
    <row r="327" spans="2:8" x14ac:dyDescent="0.2">
      <c r="B327" s="530" t="str">
        <f t="shared" si="26"/>
        <v/>
      </c>
      <c r="C327" s="546" t="str">
        <f t="shared" si="27"/>
        <v>-</v>
      </c>
      <c r="D327" s="546" t="str">
        <f t="shared" si="23"/>
        <v>-</v>
      </c>
      <c r="E327" s="546" t="str">
        <f>IF(B327="","-",SUM($D$18:D327))</f>
        <v>-</v>
      </c>
      <c r="F327" s="546" t="str">
        <f t="shared" si="24"/>
        <v>-</v>
      </c>
      <c r="G327" s="546" t="str">
        <f>IF(B327="","-",SUM($F$18:F327))</f>
        <v>-</v>
      </c>
      <c r="H327" s="546" t="str">
        <f t="shared" si="25"/>
        <v>-</v>
      </c>
    </row>
    <row r="328" spans="2:8" x14ac:dyDescent="0.2">
      <c r="B328" s="530" t="str">
        <f t="shared" si="26"/>
        <v/>
      </c>
      <c r="C328" s="546" t="str">
        <f t="shared" si="27"/>
        <v>-</v>
      </c>
      <c r="D328" s="546" t="str">
        <f t="shared" si="23"/>
        <v>-</v>
      </c>
      <c r="E328" s="546" t="str">
        <f>IF(B328="","-",SUM($D$18:D328))</f>
        <v>-</v>
      </c>
      <c r="F328" s="546" t="str">
        <f t="shared" si="24"/>
        <v>-</v>
      </c>
      <c r="G328" s="546" t="str">
        <f>IF(B328="","-",SUM($F$18:F328))</f>
        <v>-</v>
      </c>
      <c r="H328" s="546" t="str">
        <f t="shared" si="25"/>
        <v>-</v>
      </c>
    </row>
    <row r="329" spans="2:8" x14ac:dyDescent="0.2">
      <c r="B329" s="530" t="str">
        <f t="shared" si="26"/>
        <v/>
      </c>
      <c r="C329" s="546" t="str">
        <f t="shared" si="27"/>
        <v>-</v>
      </c>
      <c r="D329" s="546" t="str">
        <f t="shared" si="23"/>
        <v>-</v>
      </c>
      <c r="E329" s="546" t="str">
        <f>IF(B329="","-",SUM($D$18:D329))</f>
        <v>-</v>
      </c>
      <c r="F329" s="546" t="str">
        <f t="shared" si="24"/>
        <v>-</v>
      </c>
      <c r="G329" s="546" t="str">
        <f>IF(B329="","-",SUM($F$18:F329))</f>
        <v>-</v>
      </c>
      <c r="H329" s="546" t="str">
        <f t="shared" si="25"/>
        <v>-</v>
      </c>
    </row>
    <row r="330" spans="2:8" x14ac:dyDescent="0.2">
      <c r="B330" s="530" t="str">
        <f t="shared" si="26"/>
        <v/>
      </c>
      <c r="C330" s="546" t="str">
        <f t="shared" si="27"/>
        <v>-</v>
      </c>
      <c r="D330" s="546" t="str">
        <f t="shared" si="23"/>
        <v>-</v>
      </c>
      <c r="E330" s="546" t="str">
        <f>IF(B330="","-",SUM($D$18:D330))</f>
        <v>-</v>
      </c>
      <c r="F330" s="546" t="str">
        <f t="shared" si="24"/>
        <v>-</v>
      </c>
      <c r="G330" s="546" t="str">
        <f>IF(B330="","-",SUM($F$18:F330))</f>
        <v>-</v>
      </c>
      <c r="H330" s="546" t="str">
        <f t="shared" si="25"/>
        <v>-</v>
      </c>
    </row>
    <row r="331" spans="2:8" x14ac:dyDescent="0.2">
      <c r="B331" s="530" t="str">
        <f t="shared" si="26"/>
        <v/>
      </c>
      <c r="C331" s="546" t="str">
        <f t="shared" si="27"/>
        <v>-</v>
      </c>
      <c r="D331" s="546" t="str">
        <f t="shared" si="23"/>
        <v>-</v>
      </c>
      <c r="E331" s="546" t="str">
        <f>IF(B331="","-",SUM($D$18:D331))</f>
        <v>-</v>
      </c>
      <c r="F331" s="546" t="str">
        <f t="shared" si="24"/>
        <v>-</v>
      </c>
      <c r="G331" s="546" t="str">
        <f>IF(B331="","-",SUM($F$18:F331))</f>
        <v>-</v>
      </c>
      <c r="H331" s="546" t="str">
        <f t="shared" si="25"/>
        <v>-</v>
      </c>
    </row>
    <row r="332" spans="2:8" x14ac:dyDescent="0.2">
      <c r="B332" s="530" t="str">
        <f t="shared" si="26"/>
        <v/>
      </c>
      <c r="C332" s="546" t="str">
        <f t="shared" si="27"/>
        <v>-</v>
      </c>
      <c r="D332" s="546" t="str">
        <f t="shared" si="23"/>
        <v>-</v>
      </c>
      <c r="E332" s="546" t="str">
        <f>IF(B332="","-",SUM($D$18:D332))</f>
        <v>-</v>
      </c>
      <c r="F332" s="546" t="str">
        <f t="shared" si="24"/>
        <v>-</v>
      </c>
      <c r="G332" s="546" t="str">
        <f>IF(B332="","-",SUM($F$18:F332))</f>
        <v>-</v>
      </c>
      <c r="H332" s="546" t="str">
        <f t="shared" si="25"/>
        <v>-</v>
      </c>
    </row>
    <row r="333" spans="2:8" x14ac:dyDescent="0.2">
      <c r="B333" s="530" t="str">
        <f t="shared" si="26"/>
        <v/>
      </c>
      <c r="C333" s="546" t="str">
        <f t="shared" si="27"/>
        <v>-</v>
      </c>
      <c r="D333" s="546" t="str">
        <f t="shared" si="23"/>
        <v>-</v>
      </c>
      <c r="E333" s="546" t="str">
        <f>IF(B333="","-",SUM($D$18:D333))</f>
        <v>-</v>
      </c>
      <c r="F333" s="546" t="str">
        <f t="shared" si="24"/>
        <v>-</v>
      </c>
      <c r="G333" s="546" t="str">
        <f>IF(B333="","-",SUM($F$18:F333))</f>
        <v>-</v>
      </c>
      <c r="H333" s="546" t="str">
        <f t="shared" si="25"/>
        <v>-</v>
      </c>
    </row>
    <row r="334" spans="2:8" x14ac:dyDescent="0.2">
      <c r="B334" s="530" t="str">
        <f t="shared" si="26"/>
        <v/>
      </c>
      <c r="C334" s="546" t="str">
        <f t="shared" si="27"/>
        <v>-</v>
      </c>
      <c r="D334" s="546" t="str">
        <f t="shared" si="23"/>
        <v>-</v>
      </c>
      <c r="E334" s="546" t="str">
        <f>IF(B334="","-",SUM($D$18:D334))</f>
        <v>-</v>
      </c>
      <c r="F334" s="546" t="str">
        <f t="shared" si="24"/>
        <v>-</v>
      </c>
      <c r="G334" s="546" t="str">
        <f>IF(B334="","-",SUM($F$18:F334))</f>
        <v>-</v>
      </c>
      <c r="H334" s="546" t="str">
        <f t="shared" si="25"/>
        <v>-</v>
      </c>
    </row>
    <row r="335" spans="2:8" x14ac:dyDescent="0.2">
      <c r="B335" s="530" t="str">
        <f t="shared" si="26"/>
        <v/>
      </c>
      <c r="C335" s="546" t="str">
        <f t="shared" si="27"/>
        <v>-</v>
      </c>
      <c r="D335" s="546" t="str">
        <f t="shared" si="23"/>
        <v>-</v>
      </c>
      <c r="E335" s="546" t="str">
        <f>IF(B335="","-",SUM($D$18:D335))</f>
        <v>-</v>
      </c>
      <c r="F335" s="546" t="str">
        <f t="shared" si="24"/>
        <v>-</v>
      </c>
      <c r="G335" s="546" t="str">
        <f>IF(B335="","-",SUM($F$18:F335))</f>
        <v>-</v>
      </c>
      <c r="H335" s="546" t="str">
        <f t="shared" si="25"/>
        <v>-</v>
      </c>
    </row>
    <row r="336" spans="2:8" x14ac:dyDescent="0.2">
      <c r="B336" s="530" t="str">
        <f t="shared" si="26"/>
        <v/>
      </c>
      <c r="C336" s="546" t="str">
        <f t="shared" si="27"/>
        <v>-</v>
      </c>
      <c r="D336" s="546" t="str">
        <f t="shared" si="23"/>
        <v>-</v>
      </c>
      <c r="E336" s="546" t="str">
        <f>IF(B336="","-",SUM($D$18:D336))</f>
        <v>-</v>
      </c>
      <c r="F336" s="546" t="str">
        <f t="shared" si="24"/>
        <v>-</v>
      </c>
      <c r="G336" s="546" t="str">
        <f>IF(B336="","-",SUM($F$18:F336))</f>
        <v>-</v>
      </c>
      <c r="H336" s="546" t="str">
        <f t="shared" si="25"/>
        <v>-</v>
      </c>
    </row>
    <row r="337" spans="2:8" x14ac:dyDescent="0.2">
      <c r="B337" s="530" t="str">
        <f t="shared" si="26"/>
        <v/>
      </c>
      <c r="C337" s="546" t="str">
        <f t="shared" si="27"/>
        <v>-</v>
      </c>
      <c r="D337" s="546" t="str">
        <f t="shared" si="23"/>
        <v>-</v>
      </c>
      <c r="E337" s="546" t="str">
        <f>IF(B337="","-",SUM($D$18:D337))</f>
        <v>-</v>
      </c>
      <c r="F337" s="546" t="str">
        <f t="shared" si="24"/>
        <v>-</v>
      </c>
      <c r="G337" s="546" t="str">
        <f>IF(B337="","-",SUM($F$18:F337))</f>
        <v>-</v>
      </c>
      <c r="H337" s="546" t="str">
        <f t="shared" si="25"/>
        <v>-</v>
      </c>
    </row>
    <row r="338" spans="2:8" x14ac:dyDescent="0.2">
      <c r="B338" s="530" t="str">
        <f t="shared" si="26"/>
        <v/>
      </c>
      <c r="C338" s="546" t="str">
        <f t="shared" si="27"/>
        <v>-</v>
      </c>
      <c r="D338" s="546" t="str">
        <f t="shared" ref="D338:D378" si="28">IF(B338="","-",$D$4/12*H337)</f>
        <v>-</v>
      </c>
      <c r="E338" s="546" t="str">
        <f>IF(B338="","-",SUM($D$18:D338))</f>
        <v>-</v>
      </c>
      <c r="F338" s="546" t="str">
        <f t="shared" ref="F338:F378" si="29">IF(B338="","-",C338-D338)</f>
        <v>-</v>
      </c>
      <c r="G338" s="546" t="str">
        <f>IF(B338="","-",SUM($F$18:F338))</f>
        <v>-</v>
      </c>
      <c r="H338" s="546" t="str">
        <f t="shared" ref="H338:H378" si="30">IF(B338="","-",H337-F338)</f>
        <v>-</v>
      </c>
    </row>
    <row r="339" spans="2:8" x14ac:dyDescent="0.2">
      <c r="B339" s="530" t="str">
        <f t="shared" si="26"/>
        <v/>
      </c>
      <c r="C339" s="546" t="str">
        <f t="shared" si="27"/>
        <v>-</v>
      </c>
      <c r="D339" s="546" t="str">
        <f t="shared" si="28"/>
        <v>-</v>
      </c>
      <c r="E339" s="546" t="str">
        <f>IF(B339="","-",SUM($D$18:D339))</f>
        <v>-</v>
      </c>
      <c r="F339" s="546" t="str">
        <f t="shared" si="29"/>
        <v>-</v>
      </c>
      <c r="G339" s="546" t="str">
        <f>IF(B339="","-",SUM($F$18:F339))</f>
        <v>-</v>
      </c>
      <c r="H339" s="546" t="str">
        <f t="shared" si="30"/>
        <v>-</v>
      </c>
    </row>
    <row r="340" spans="2:8" x14ac:dyDescent="0.2">
      <c r="B340" s="530" t="str">
        <f t="shared" si="26"/>
        <v/>
      </c>
      <c r="C340" s="546" t="str">
        <f t="shared" si="27"/>
        <v>-</v>
      </c>
      <c r="D340" s="546" t="str">
        <f t="shared" si="28"/>
        <v>-</v>
      </c>
      <c r="E340" s="546" t="str">
        <f>IF(B340="","-",SUM($D$18:D340))</f>
        <v>-</v>
      </c>
      <c r="F340" s="546" t="str">
        <f t="shared" si="29"/>
        <v>-</v>
      </c>
      <c r="G340" s="546" t="str">
        <f>IF(B340="","-",SUM($F$18:F340))</f>
        <v>-</v>
      </c>
      <c r="H340" s="546" t="str">
        <f t="shared" si="30"/>
        <v>-</v>
      </c>
    </row>
    <row r="341" spans="2:8" x14ac:dyDescent="0.2">
      <c r="B341" s="530" t="str">
        <f t="shared" si="26"/>
        <v/>
      </c>
      <c r="C341" s="546" t="str">
        <f t="shared" si="27"/>
        <v>-</v>
      </c>
      <c r="D341" s="546" t="str">
        <f t="shared" si="28"/>
        <v>-</v>
      </c>
      <c r="E341" s="546" t="str">
        <f>IF(B341="","-",SUM($D$18:D341))</f>
        <v>-</v>
      </c>
      <c r="F341" s="546" t="str">
        <f t="shared" si="29"/>
        <v>-</v>
      </c>
      <c r="G341" s="546" t="str">
        <f>IF(B341="","-",SUM($F$18:F341))</f>
        <v>-</v>
      </c>
      <c r="H341" s="546" t="str">
        <f t="shared" si="30"/>
        <v>-</v>
      </c>
    </row>
    <row r="342" spans="2:8" x14ac:dyDescent="0.2">
      <c r="B342" s="530" t="str">
        <f t="shared" si="26"/>
        <v/>
      </c>
      <c r="C342" s="546" t="str">
        <f t="shared" si="27"/>
        <v>-</v>
      </c>
      <c r="D342" s="546" t="str">
        <f t="shared" si="28"/>
        <v>-</v>
      </c>
      <c r="E342" s="546" t="str">
        <f>IF(B342="","-",SUM($D$18:D342))</f>
        <v>-</v>
      </c>
      <c r="F342" s="546" t="str">
        <f t="shared" si="29"/>
        <v>-</v>
      </c>
      <c r="G342" s="546" t="str">
        <f>IF(B342="","-",SUM($F$18:F342))</f>
        <v>-</v>
      </c>
      <c r="H342" s="546" t="str">
        <f t="shared" si="30"/>
        <v>-</v>
      </c>
    </row>
    <row r="343" spans="2:8" x14ac:dyDescent="0.2">
      <c r="B343" s="530" t="str">
        <f t="shared" si="26"/>
        <v/>
      </c>
      <c r="C343" s="546" t="str">
        <f t="shared" si="27"/>
        <v>-</v>
      </c>
      <c r="D343" s="546" t="str">
        <f t="shared" si="28"/>
        <v>-</v>
      </c>
      <c r="E343" s="546" t="str">
        <f>IF(B343="","-",SUM($D$18:D343))</f>
        <v>-</v>
      </c>
      <c r="F343" s="546" t="str">
        <f t="shared" si="29"/>
        <v>-</v>
      </c>
      <c r="G343" s="546" t="str">
        <f>IF(B343="","-",SUM($F$18:F343))</f>
        <v>-</v>
      </c>
      <c r="H343" s="546" t="str">
        <f t="shared" si="30"/>
        <v>-</v>
      </c>
    </row>
    <row r="344" spans="2:8" x14ac:dyDescent="0.2">
      <c r="B344" s="530" t="str">
        <f t="shared" si="26"/>
        <v/>
      </c>
      <c r="C344" s="546" t="str">
        <f t="shared" si="27"/>
        <v>-</v>
      </c>
      <c r="D344" s="546" t="str">
        <f t="shared" si="28"/>
        <v>-</v>
      </c>
      <c r="E344" s="546" t="str">
        <f>IF(B344="","-",SUM($D$18:D344))</f>
        <v>-</v>
      </c>
      <c r="F344" s="546" t="str">
        <f t="shared" si="29"/>
        <v>-</v>
      </c>
      <c r="G344" s="546" t="str">
        <f>IF(B344="","-",SUM($F$18:F344))</f>
        <v>-</v>
      </c>
      <c r="H344" s="546" t="str">
        <f t="shared" si="30"/>
        <v>-</v>
      </c>
    </row>
    <row r="345" spans="2:8" x14ac:dyDescent="0.2">
      <c r="B345" s="530" t="str">
        <f t="shared" si="26"/>
        <v/>
      </c>
      <c r="C345" s="546" t="str">
        <f t="shared" si="27"/>
        <v>-</v>
      </c>
      <c r="D345" s="546" t="str">
        <f t="shared" si="28"/>
        <v>-</v>
      </c>
      <c r="E345" s="546" t="str">
        <f>IF(B345="","-",SUM($D$18:D345))</f>
        <v>-</v>
      </c>
      <c r="F345" s="546" t="str">
        <f t="shared" si="29"/>
        <v>-</v>
      </c>
      <c r="G345" s="546" t="str">
        <f>IF(B345="","-",SUM($F$18:F345))</f>
        <v>-</v>
      </c>
      <c r="H345" s="546" t="str">
        <f t="shared" si="30"/>
        <v>-</v>
      </c>
    </row>
    <row r="346" spans="2:8" x14ac:dyDescent="0.2">
      <c r="B346" s="530" t="str">
        <f t="shared" si="26"/>
        <v/>
      </c>
      <c r="C346" s="546" t="str">
        <f t="shared" si="27"/>
        <v>-</v>
      </c>
      <c r="D346" s="546" t="str">
        <f t="shared" si="28"/>
        <v>-</v>
      </c>
      <c r="E346" s="546" t="str">
        <f>IF(B346="","-",SUM($D$18:D346))</f>
        <v>-</v>
      </c>
      <c r="F346" s="546" t="str">
        <f t="shared" si="29"/>
        <v>-</v>
      </c>
      <c r="G346" s="546" t="str">
        <f>IF(B346="","-",SUM($F$18:F346))</f>
        <v>-</v>
      </c>
      <c r="H346" s="546" t="str">
        <f t="shared" si="30"/>
        <v>-</v>
      </c>
    </row>
    <row r="347" spans="2:8" x14ac:dyDescent="0.2">
      <c r="B347" s="530" t="str">
        <f t="shared" si="26"/>
        <v/>
      </c>
      <c r="C347" s="546" t="str">
        <f t="shared" si="27"/>
        <v>-</v>
      </c>
      <c r="D347" s="546" t="str">
        <f t="shared" si="28"/>
        <v>-</v>
      </c>
      <c r="E347" s="546" t="str">
        <f>IF(B347="","-",SUM($D$18:D347))</f>
        <v>-</v>
      </c>
      <c r="F347" s="546" t="str">
        <f t="shared" si="29"/>
        <v>-</v>
      </c>
      <c r="G347" s="546" t="str">
        <f>IF(B347="","-",SUM($F$18:F347))</f>
        <v>-</v>
      </c>
      <c r="H347" s="546" t="str">
        <f t="shared" si="30"/>
        <v>-</v>
      </c>
    </row>
    <row r="348" spans="2:8" x14ac:dyDescent="0.2">
      <c r="B348" s="530" t="str">
        <f t="shared" si="26"/>
        <v/>
      </c>
      <c r="C348" s="546" t="str">
        <f t="shared" si="27"/>
        <v>-</v>
      </c>
      <c r="D348" s="546" t="str">
        <f t="shared" si="28"/>
        <v>-</v>
      </c>
      <c r="E348" s="546" t="str">
        <f>IF(B348="","-",SUM($D$18:D348))</f>
        <v>-</v>
      </c>
      <c r="F348" s="546" t="str">
        <f t="shared" si="29"/>
        <v>-</v>
      </c>
      <c r="G348" s="546" t="str">
        <f>IF(B348="","-",SUM($F$18:F348))</f>
        <v>-</v>
      </c>
      <c r="H348" s="546" t="str">
        <f t="shared" si="30"/>
        <v>-</v>
      </c>
    </row>
    <row r="349" spans="2:8" x14ac:dyDescent="0.2">
      <c r="B349" s="530" t="str">
        <f t="shared" si="26"/>
        <v/>
      </c>
      <c r="C349" s="546" t="str">
        <f t="shared" si="27"/>
        <v>-</v>
      </c>
      <c r="D349" s="546" t="str">
        <f t="shared" si="28"/>
        <v>-</v>
      </c>
      <c r="E349" s="546" t="str">
        <f>IF(B349="","-",SUM($D$18:D349))</f>
        <v>-</v>
      </c>
      <c r="F349" s="546" t="str">
        <f t="shared" si="29"/>
        <v>-</v>
      </c>
      <c r="G349" s="546" t="str">
        <f>IF(B349="","-",SUM($F$18:F349))</f>
        <v>-</v>
      </c>
      <c r="H349" s="546" t="str">
        <f t="shared" si="30"/>
        <v>-</v>
      </c>
    </row>
    <row r="350" spans="2:8" x14ac:dyDescent="0.2">
      <c r="B350" s="530" t="str">
        <f t="shared" ref="B350:B377" si="31">IF(B349&gt;=$D$5*12,"",B349+1)</f>
        <v/>
      </c>
      <c r="C350" s="546" t="str">
        <f t="shared" si="27"/>
        <v>-</v>
      </c>
      <c r="D350" s="546" t="str">
        <f t="shared" si="28"/>
        <v>-</v>
      </c>
      <c r="E350" s="546" t="str">
        <f>IF(B350="","-",SUM($D$18:D350))</f>
        <v>-</v>
      </c>
      <c r="F350" s="546" t="str">
        <f t="shared" si="29"/>
        <v>-</v>
      </c>
      <c r="G350" s="546" t="str">
        <f>IF(B350="","-",SUM($F$18:F350))</f>
        <v>-</v>
      </c>
      <c r="H350" s="546" t="str">
        <f t="shared" si="30"/>
        <v>-</v>
      </c>
    </row>
    <row r="351" spans="2:8" x14ac:dyDescent="0.2">
      <c r="B351" s="530" t="str">
        <f t="shared" si="31"/>
        <v/>
      </c>
      <c r="C351" s="546" t="str">
        <f t="shared" si="27"/>
        <v>-</v>
      </c>
      <c r="D351" s="546" t="str">
        <f t="shared" si="28"/>
        <v>-</v>
      </c>
      <c r="E351" s="546" t="str">
        <f>IF(B351="","-",SUM($D$18:D351))</f>
        <v>-</v>
      </c>
      <c r="F351" s="546" t="str">
        <f t="shared" si="29"/>
        <v>-</v>
      </c>
      <c r="G351" s="546" t="str">
        <f>IF(B351="","-",SUM($F$18:F351))</f>
        <v>-</v>
      </c>
      <c r="H351" s="546" t="str">
        <f t="shared" si="30"/>
        <v>-</v>
      </c>
    </row>
    <row r="352" spans="2:8" x14ac:dyDescent="0.2">
      <c r="B352" s="530" t="str">
        <f t="shared" si="31"/>
        <v/>
      </c>
      <c r="C352" s="546" t="str">
        <f t="shared" si="27"/>
        <v>-</v>
      </c>
      <c r="D352" s="546" t="str">
        <f t="shared" si="28"/>
        <v>-</v>
      </c>
      <c r="E352" s="546" t="str">
        <f>IF(B352="","-",SUM($D$18:D352))</f>
        <v>-</v>
      </c>
      <c r="F352" s="546" t="str">
        <f t="shared" si="29"/>
        <v>-</v>
      </c>
      <c r="G352" s="546" t="str">
        <f>IF(B352="","-",SUM($F$18:F352))</f>
        <v>-</v>
      </c>
      <c r="H352" s="546" t="str">
        <f t="shared" si="30"/>
        <v>-</v>
      </c>
    </row>
    <row r="353" spans="2:8" x14ac:dyDescent="0.2">
      <c r="B353" s="530" t="str">
        <f t="shared" si="31"/>
        <v/>
      </c>
      <c r="C353" s="546" t="str">
        <f t="shared" si="27"/>
        <v>-</v>
      </c>
      <c r="D353" s="546" t="str">
        <f t="shared" si="28"/>
        <v>-</v>
      </c>
      <c r="E353" s="546" t="str">
        <f>IF(B353="","-",SUM($D$18:D353))</f>
        <v>-</v>
      </c>
      <c r="F353" s="546" t="str">
        <f t="shared" si="29"/>
        <v>-</v>
      </c>
      <c r="G353" s="546" t="str">
        <f>IF(B353="","-",SUM($F$18:F353))</f>
        <v>-</v>
      </c>
      <c r="H353" s="546" t="str">
        <f t="shared" si="30"/>
        <v>-</v>
      </c>
    </row>
    <row r="354" spans="2:8" x14ac:dyDescent="0.2">
      <c r="B354" s="530" t="str">
        <f t="shared" si="31"/>
        <v/>
      </c>
      <c r="C354" s="546" t="str">
        <f t="shared" si="27"/>
        <v>-</v>
      </c>
      <c r="D354" s="546" t="str">
        <f t="shared" si="28"/>
        <v>-</v>
      </c>
      <c r="E354" s="546" t="str">
        <f>IF(B354="","-",SUM($D$18:D354))</f>
        <v>-</v>
      </c>
      <c r="F354" s="546" t="str">
        <f t="shared" si="29"/>
        <v>-</v>
      </c>
      <c r="G354" s="546" t="str">
        <f>IF(B354="","-",SUM($F$18:F354))</f>
        <v>-</v>
      </c>
      <c r="H354" s="546" t="str">
        <f t="shared" si="30"/>
        <v>-</v>
      </c>
    </row>
    <row r="355" spans="2:8" x14ac:dyDescent="0.2">
      <c r="B355" s="530" t="str">
        <f t="shared" si="31"/>
        <v/>
      </c>
      <c r="C355" s="546" t="str">
        <f t="shared" si="27"/>
        <v>-</v>
      </c>
      <c r="D355" s="546" t="str">
        <f t="shared" si="28"/>
        <v>-</v>
      </c>
      <c r="E355" s="546" t="str">
        <f>IF(B355="","-",SUM($D$18:D355))</f>
        <v>-</v>
      </c>
      <c r="F355" s="546" t="str">
        <f t="shared" si="29"/>
        <v>-</v>
      </c>
      <c r="G355" s="546" t="str">
        <f>IF(B355="","-",SUM($F$18:F355))</f>
        <v>-</v>
      </c>
      <c r="H355" s="546" t="str">
        <f t="shared" si="30"/>
        <v>-</v>
      </c>
    </row>
    <row r="356" spans="2:8" x14ac:dyDescent="0.2">
      <c r="B356" s="530" t="str">
        <f t="shared" si="31"/>
        <v/>
      </c>
      <c r="C356" s="546" t="str">
        <f t="shared" si="27"/>
        <v>-</v>
      </c>
      <c r="D356" s="546" t="str">
        <f t="shared" si="28"/>
        <v>-</v>
      </c>
      <c r="E356" s="546" t="str">
        <f>IF(B356="","-",SUM($D$18:D356))</f>
        <v>-</v>
      </c>
      <c r="F356" s="546" t="str">
        <f t="shared" si="29"/>
        <v>-</v>
      </c>
      <c r="G356" s="546" t="str">
        <f>IF(B356="","-",SUM($F$18:F356))</f>
        <v>-</v>
      </c>
      <c r="H356" s="546" t="str">
        <f t="shared" si="30"/>
        <v>-</v>
      </c>
    </row>
    <row r="357" spans="2:8" x14ac:dyDescent="0.2">
      <c r="B357" s="530" t="str">
        <f t="shared" si="31"/>
        <v/>
      </c>
      <c r="C357" s="546" t="str">
        <f t="shared" si="27"/>
        <v>-</v>
      </c>
      <c r="D357" s="546" t="str">
        <f t="shared" si="28"/>
        <v>-</v>
      </c>
      <c r="E357" s="546" t="str">
        <f>IF(B357="","-",SUM($D$18:D357))</f>
        <v>-</v>
      </c>
      <c r="F357" s="546" t="str">
        <f t="shared" si="29"/>
        <v>-</v>
      </c>
      <c r="G357" s="546" t="str">
        <f>IF(B357="","-",SUM($F$18:F357))</f>
        <v>-</v>
      </c>
      <c r="H357" s="546" t="str">
        <f t="shared" si="30"/>
        <v>-</v>
      </c>
    </row>
    <row r="358" spans="2:8" x14ac:dyDescent="0.2">
      <c r="B358" s="530" t="str">
        <f t="shared" si="31"/>
        <v/>
      </c>
      <c r="C358" s="546" t="str">
        <f t="shared" si="27"/>
        <v>-</v>
      </c>
      <c r="D358" s="546" t="str">
        <f t="shared" si="28"/>
        <v>-</v>
      </c>
      <c r="E358" s="546" t="str">
        <f>IF(B358="","-",SUM($D$18:D358))</f>
        <v>-</v>
      </c>
      <c r="F358" s="546" t="str">
        <f t="shared" si="29"/>
        <v>-</v>
      </c>
      <c r="G358" s="546" t="str">
        <f>IF(B358="","-",SUM($F$18:F358))</f>
        <v>-</v>
      </c>
      <c r="H358" s="546" t="str">
        <f t="shared" si="30"/>
        <v>-</v>
      </c>
    </row>
    <row r="359" spans="2:8" x14ac:dyDescent="0.2">
      <c r="B359" s="530" t="str">
        <f t="shared" si="31"/>
        <v/>
      </c>
      <c r="C359" s="546" t="str">
        <f t="shared" si="27"/>
        <v>-</v>
      </c>
      <c r="D359" s="546" t="str">
        <f t="shared" si="28"/>
        <v>-</v>
      </c>
      <c r="E359" s="546" t="str">
        <f>IF(B359="","-",SUM($D$18:D359))</f>
        <v>-</v>
      </c>
      <c r="F359" s="546" t="str">
        <f t="shared" si="29"/>
        <v>-</v>
      </c>
      <c r="G359" s="546" t="str">
        <f>IF(B359="","-",SUM($F$18:F359))</f>
        <v>-</v>
      </c>
      <c r="H359" s="546" t="str">
        <f t="shared" si="30"/>
        <v>-</v>
      </c>
    </row>
    <row r="360" spans="2:8" x14ac:dyDescent="0.2">
      <c r="B360" s="530" t="str">
        <f t="shared" si="31"/>
        <v/>
      </c>
      <c r="C360" s="546" t="str">
        <f t="shared" si="27"/>
        <v>-</v>
      </c>
      <c r="D360" s="546" t="str">
        <f t="shared" si="28"/>
        <v>-</v>
      </c>
      <c r="E360" s="546" t="str">
        <f>IF(B360="","-",SUM($D$18:D360))</f>
        <v>-</v>
      </c>
      <c r="F360" s="546" t="str">
        <f t="shared" si="29"/>
        <v>-</v>
      </c>
      <c r="G360" s="546" t="str">
        <f>IF(B360="","-",SUM($F$18:F360))</f>
        <v>-</v>
      </c>
      <c r="H360" s="546" t="str">
        <f t="shared" si="30"/>
        <v>-</v>
      </c>
    </row>
    <row r="361" spans="2:8" x14ac:dyDescent="0.2">
      <c r="B361" s="530" t="str">
        <f t="shared" si="31"/>
        <v/>
      </c>
      <c r="C361" s="546" t="str">
        <f t="shared" si="27"/>
        <v>-</v>
      </c>
      <c r="D361" s="546" t="str">
        <f t="shared" si="28"/>
        <v>-</v>
      </c>
      <c r="E361" s="546" t="str">
        <f>IF(B361="","-",SUM($D$18:D361))</f>
        <v>-</v>
      </c>
      <c r="F361" s="546" t="str">
        <f t="shared" si="29"/>
        <v>-</v>
      </c>
      <c r="G361" s="546" t="str">
        <f>IF(B361="","-",SUM($F$18:F361))</f>
        <v>-</v>
      </c>
      <c r="H361" s="546" t="str">
        <f t="shared" si="30"/>
        <v>-</v>
      </c>
    </row>
    <row r="362" spans="2:8" x14ac:dyDescent="0.2">
      <c r="B362" s="530" t="str">
        <f t="shared" si="31"/>
        <v/>
      </c>
      <c r="C362" s="546" t="str">
        <f t="shared" si="27"/>
        <v>-</v>
      </c>
      <c r="D362" s="546" t="str">
        <f t="shared" si="28"/>
        <v>-</v>
      </c>
      <c r="E362" s="546" t="str">
        <f>IF(B362="","-",SUM($D$18:D362))</f>
        <v>-</v>
      </c>
      <c r="F362" s="546" t="str">
        <f t="shared" si="29"/>
        <v>-</v>
      </c>
      <c r="G362" s="546" t="str">
        <f>IF(B362="","-",SUM($F$18:F362))</f>
        <v>-</v>
      </c>
      <c r="H362" s="546" t="str">
        <f t="shared" si="30"/>
        <v>-</v>
      </c>
    </row>
    <row r="363" spans="2:8" x14ac:dyDescent="0.2">
      <c r="B363" s="530" t="str">
        <f t="shared" si="31"/>
        <v/>
      </c>
      <c r="C363" s="546" t="str">
        <f t="shared" si="27"/>
        <v>-</v>
      </c>
      <c r="D363" s="546" t="str">
        <f t="shared" si="28"/>
        <v>-</v>
      </c>
      <c r="E363" s="546" t="str">
        <f>IF(B363="","-",SUM($D$18:D363))</f>
        <v>-</v>
      </c>
      <c r="F363" s="546" t="str">
        <f t="shared" si="29"/>
        <v>-</v>
      </c>
      <c r="G363" s="546" t="str">
        <f>IF(B363="","-",SUM($F$18:F363))</f>
        <v>-</v>
      </c>
      <c r="H363" s="546" t="str">
        <f t="shared" si="30"/>
        <v>-</v>
      </c>
    </row>
    <row r="364" spans="2:8" x14ac:dyDescent="0.2">
      <c r="B364" s="530" t="str">
        <f t="shared" si="31"/>
        <v/>
      </c>
      <c r="C364" s="546" t="str">
        <f t="shared" si="27"/>
        <v>-</v>
      </c>
      <c r="D364" s="546" t="str">
        <f t="shared" si="28"/>
        <v>-</v>
      </c>
      <c r="E364" s="546" t="str">
        <f>IF(B364="","-",SUM($D$18:D364))</f>
        <v>-</v>
      </c>
      <c r="F364" s="546" t="str">
        <f t="shared" si="29"/>
        <v>-</v>
      </c>
      <c r="G364" s="546" t="str">
        <f>IF(B364="","-",SUM($F$18:F364))</f>
        <v>-</v>
      </c>
      <c r="H364" s="546" t="str">
        <f t="shared" si="30"/>
        <v>-</v>
      </c>
    </row>
    <row r="365" spans="2:8" x14ac:dyDescent="0.2">
      <c r="B365" s="530" t="str">
        <f t="shared" si="31"/>
        <v/>
      </c>
      <c r="C365" s="546" t="str">
        <f t="shared" si="27"/>
        <v>-</v>
      </c>
      <c r="D365" s="546" t="str">
        <f t="shared" si="28"/>
        <v>-</v>
      </c>
      <c r="E365" s="546" t="str">
        <f>IF(B365="","-",SUM($D$18:D365))</f>
        <v>-</v>
      </c>
      <c r="F365" s="546" t="str">
        <f t="shared" si="29"/>
        <v>-</v>
      </c>
      <c r="G365" s="546" t="str">
        <f>IF(B365="","-",SUM($F$18:F365))</f>
        <v>-</v>
      </c>
      <c r="H365" s="546" t="str">
        <f t="shared" si="30"/>
        <v>-</v>
      </c>
    </row>
    <row r="366" spans="2:8" x14ac:dyDescent="0.2">
      <c r="B366" s="530" t="str">
        <f t="shared" si="31"/>
        <v/>
      </c>
      <c r="C366" s="546" t="str">
        <f t="shared" si="27"/>
        <v>-</v>
      </c>
      <c r="D366" s="546" t="str">
        <f t="shared" si="28"/>
        <v>-</v>
      </c>
      <c r="E366" s="546" t="str">
        <f>IF(B366="","-",SUM($D$18:D366))</f>
        <v>-</v>
      </c>
      <c r="F366" s="546" t="str">
        <f t="shared" si="29"/>
        <v>-</v>
      </c>
      <c r="G366" s="546" t="str">
        <f>IF(B366="","-",SUM($F$18:F366))</f>
        <v>-</v>
      </c>
      <c r="H366" s="546" t="str">
        <f t="shared" si="30"/>
        <v>-</v>
      </c>
    </row>
    <row r="367" spans="2:8" x14ac:dyDescent="0.2">
      <c r="B367" s="530" t="str">
        <f t="shared" si="31"/>
        <v/>
      </c>
      <c r="C367" s="546" t="str">
        <f t="shared" si="27"/>
        <v>-</v>
      </c>
      <c r="D367" s="546" t="str">
        <f t="shared" si="28"/>
        <v>-</v>
      </c>
      <c r="E367" s="546" t="str">
        <f>IF(B367="","-",SUM($D$18:D367))</f>
        <v>-</v>
      </c>
      <c r="F367" s="546" t="str">
        <f t="shared" si="29"/>
        <v>-</v>
      </c>
      <c r="G367" s="546" t="str">
        <f>IF(B367="","-",SUM($F$18:F367))</f>
        <v>-</v>
      </c>
      <c r="H367" s="546" t="str">
        <f t="shared" si="30"/>
        <v>-</v>
      </c>
    </row>
    <row r="368" spans="2:8" x14ac:dyDescent="0.2">
      <c r="B368" s="530" t="str">
        <f t="shared" si="31"/>
        <v/>
      </c>
      <c r="C368" s="546" t="str">
        <f t="shared" si="27"/>
        <v>-</v>
      </c>
      <c r="D368" s="546" t="str">
        <f t="shared" si="28"/>
        <v>-</v>
      </c>
      <c r="E368" s="546" t="str">
        <f>IF(B368="","-",SUM($D$18:D368))</f>
        <v>-</v>
      </c>
      <c r="F368" s="546" t="str">
        <f t="shared" si="29"/>
        <v>-</v>
      </c>
      <c r="G368" s="546" t="str">
        <f>IF(B368="","-",SUM($F$18:F368))</f>
        <v>-</v>
      </c>
      <c r="H368" s="546" t="str">
        <f t="shared" si="30"/>
        <v>-</v>
      </c>
    </row>
    <row r="369" spans="2:8" x14ac:dyDescent="0.2">
      <c r="B369" s="530" t="str">
        <f t="shared" si="31"/>
        <v/>
      </c>
      <c r="C369" s="546" t="str">
        <f t="shared" si="27"/>
        <v>-</v>
      </c>
      <c r="D369" s="546" t="str">
        <f t="shared" si="28"/>
        <v>-</v>
      </c>
      <c r="E369" s="546" t="str">
        <f>IF(B369="","-",SUM($D$18:D369))</f>
        <v>-</v>
      </c>
      <c r="F369" s="546" t="str">
        <f t="shared" si="29"/>
        <v>-</v>
      </c>
      <c r="G369" s="546" t="str">
        <f>IF(B369="","-",SUM($F$18:F369))</f>
        <v>-</v>
      </c>
      <c r="H369" s="546" t="str">
        <f t="shared" si="30"/>
        <v>-</v>
      </c>
    </row>
    <row r="370" spans="2:8" x14ac:dyDescent="0.2">
      <c r="B370" s="530" t="str">
        <f t="shared" si="31"/>
        <v/>
      </c>
      <c r="C370" s="546" t="str">
        <f t="shared" si="27"/>
        <v>-</v>
      </c>
      <c r="D370" s="546" t="str">
        <f t="shared" si="28"/>
        <v>-</v>
      </c>
      <c r="E370" s="546" t="str">
        <f>IF(B370="","-",SUM($D$18:D370))</f>
        <v>-</v>
      </c>
      <c r="F370" s="546" t="str">
        <f t="shared" si="29"/>
        <v>-</v>
      </c>
      <c r="G370" s="546" t="str">
        <f>IF(B370="","-",SUM($F$18:F370))</f>
        <v>-</v>
      </c>
      <c r="H370" s="546" t="str">
        <f t="shared" si="30"/>
        <v>-</v>
      </c>
    </row>
    <row r="371" spans="2:8" x14ac:dyDescent="0.2">
      <c r="B371" s="530" t="str">
        <f t="shared" si="31"/>
        <v/>
      </c>
      <c r="C371" s="546" t="str">
        <f t="shared" si="27"/>
        <v>-</v>
      </c>
      <c r="D371" s="546" t="str">
        <f t="shared" si="28"/>
        <v>-</v>
      </c>
      <c r="E371" s="546" t="str">
        <f>IF(B371="","-",SUM($D$18:D371))</f>
        <v>-</v>
      </c>
      <c r="F371" s="546" t="str">
        <f t="shared" si="29"/>
        <v>-</v>
      </c>
      <c r="G371" s="546" t="str">
        <f>IF(B371="","-",SUM($F$18:F371))</f>
        <v>-</v>
      </c>
      <c r="H371" s="546" t="str">
        <f t="shared" si="30"/>
        <v>-</v>
      </c>
    </row>
    <row r="372" spans="2:8" x14ac:dyDescent="0.2">
      <c r="B372" s="530" t="str">
        <f t="shared" si="31"/>
        <v/>
      </c>
      <c r="C372" s="546" t="str">
        <f t="shared" si="27"/>
        <v>-</v>
      </c>
      <c r="D372" s="546" t="str">
        <f t="shared" si="28"/>
        <v>-</v>
      </c>
      <c r="E372" s="546" t="str">
        <f>IF(B372="","-",SUM($D$18:D372))</f>
        <v>-</v>
      </c>
      <c r="F372" s="546" t="str">
        <f t="shared" si="29"/>
        <v>-</v>
      </c>
      <c r="G372" s="546" t="str">
        <f>IF(B372="","-",SUM($F$18:F372))</f>
        <v>-</v>
      </c>
      <c r="H372" s="546" t="str">
        <f t="shared" si="30"/>
        <v>-</v>
      </c>
    </row>
    <row r="373" spans="2:8" x14ac:dyDescent="0.2">
      <c r="B373" s="530" t="str">
        <f t="shared" si="31"/>
        <v/>
      </c>
      <c r="C373" s="546" t="str">
        <f t="shared" si="27"/>
        <v>-</v>
      </c>
      <c r="D373" s="546" t="str">
        <f t="shared" si="28"/>
        <v>-</v>
      </c>
      <c r="E373" s="546" t="str">
        <f>IF(B373="","-",SUM($D$18:D373))</f>
        <v>-</v>
      </c>
      <c r="F373" s="546" t="str">
        <f t="shared" si="29"/>
        <v>-</v>
      </c>
      <c r="G373" s="546" t="str">
        <f>IF(B373="","-",SUM($F$18:F373))</f>
        <v>-</v>
      </c>
      <c r="H373" s="546" t="str">
        <f t="shared" si="30"/>
        <v>-</v>
      </c>
    </row>
    <row r="374" spans="2:8" x14ac:dyDescent="0.2">
      <c r="B374" s="530" t="str">
        <f t="shared" si="31"/>
        <v/>
      </c>
      <c r="C374" s="546" t="str">
        <f t="shared" si="27"/>
        <v>-</v>
      </c>
      <c r="D374" s="546" t="str">
        <f t="shared" si="28"/>
        <v>-</v>
      </c>
      <c r="E374" s="546" t="str">
        <f>IF(B374="","-",SUM($D$18:D374))</f>
        <v>-</v>
      </c>
      <c r="F374" s="546" t="str">
        <f t="shared" si="29"/>
        <v>-</v>
      </c>
      <c r="G374" s="546" t="str">
        <f>IF(B374="","-",SUM($F$18:F374))</f>
        <v>-</v>
      </c>
      <c r="H374" s="546" t="str">
        <f t="shared" si="30"/>
        <v>-</v>
      </c>
    </row>
    <row r="375" spans="2:8" x14ac:dyDescent="0.2">
      <c r="B375" s="530" t="str">
        <f t="shared" si="31"/>
        <v/>
      </c>
      <c r="C375" s="546" t="str">
        <f t="shared" si="27"/>
        <v>-</v>
      </c>
      <c r="D375" s="546" t="str">
        <f t="shared" si="28"/>
        <v>-</v>
      </c>
      <c r="E375" s="546" t="str">
        <f>IF(B375="","-",SUM($D$18:D375))</f>
        <v>-</v>
      </c>
      <c r="F375" s="546" t="str">
        <f t="shared" si="29"/>
        <v>-</v>
      </c>
      <c r="G375" s="546" t="str">
        <f>IF(B375="","-",SUM($F$18:F375))</f>
        <v>-</v>
      </c>
      <c r="H375" s="546" t="str">
        <f t="shared" si="30"/>
        <v>-</v>
      </c>
    </row>
    <row r="376" spans="2:8" x14ac:dyDescent="0.2">
      <c r="B376" s="530" t="str">
        <f t="shared" si="31"/>
        <v/>
      </c>
      <c r="C376" s="546" t="str">
        <f t="shared" si="27"/>
        <v>-</v>
      </c>
      <c r="D376" s="546" t="str">
        <f t="shared" si="28"/>
        <v>-</v>
      </c>
      <c r="E376" s="546" t="str">
        <f>IF(B376="","-",SUM($D$18:D376))</f>
        <v>-</v>
      </c>
      <c r="F376" s="546" t="str">
        <f t="shared" si="29"/>
        <v>-</v>
      </c>
      <c r="G376" s="546" t="str">
        <f>IF(B376="","-",SUM($F$18:F376))</f>
        <v>-</v>
      </c>
      <c r="H376" s="546" t="str">
        <f t="shared" si="30"/>
        <v>-</v>
      </c>
    </row>
    <row r="377" spans="2:8" x14ac:dyDescent="0.2">
      <c r="B377" s="530" t="str">
        <f t="shared" si="31"/>
        <v/>
      </c>
      <c r="C377" s="546" t="str">
        <f t="shared" si="27"/>
        <v>-</v>
      </c>
      <c r="D377" s="546" t="str">
        <f t="shared" si="28"/>
        <v>-</v>
      </c>
      <c r="E377" s="546" t="str">
        <f>IF(B377="","-",SUM($D$18:D377))</f>
        <v>-</v>
      </c>
      <c r="F377" s="546" t="str">
        <f t="shared" si="29"/>
        <v>-</v>
      </c>
      <c r="G377" s="546" t="str">
        <f>IF(B377="","-",SUM($F$18:F377))</f>
        <v>-</v>
      </c>
      <c r="H377" s="546" t="str">
        <f t="shared" si="30"/>
        <v>-</v>
      </c>
    </row>
    <row r="378" spans="2:8" x14ac:dyDescent="0.2">
      <c r="B378" s="530" t="str">
        <f>IF(B377&gt;=$D$5*12,"",B377+1)</f>
        <v/>
      </c>
      <c r="C378" s="546" t="str">
        <f t="shared" si="27"/>
        <v>-</v>
      </c>
      <c r="D378" s="546" t="str">
        <f t="shared" si="28"/>
        <v>-</v>
      </c>
      <c r="E378" s="546" t="str">
        <f>IF(B378="","-",SUM($D$18:D378))</f>
        <v>-</v>
      </c>
      <c r="F378" s="546" t="str">
        <f t="shared" si="29"/>
        <v>-</v>
      </c>
      <c r="G378" s="546" t="str">
        <f>IF(B378="","-",SUM($F$18:F378))</f>
        <v>-</v>
      </c>
      <c r="H378" s="546" t="str">
        <f t="shared" si="30"/>
        <v>-</v>
      </c>
    </row>
    <row r="379" spans="2:8" x14ac:dyDescent="0.2">
      <c r="B379" s="553"/>
      <c r="C379" s="553"/>
      <c r="D379" s="553"/>
      <c r="E379" s="553"/>
      <c r="F379" s="553"/>
      <c r="G379" s="553"/>
      <c r="H379" s="553"/>
    </row>
    <row r="380" spans="2:8" x14ac:dyDescent="0.2">
      <c r="B380" s="554"/>
    </row>
    <row r="381" spans="2:8" x14ac:dyDescent="0.2">
      <c r="B381" s="218" t="s">
        <v>301</v>
      </c>
    </row>
    <row r="382" spans="2:8" x14ac:dyDescent="0.2">
      <c r="B382" s="218" t="s">
        <v>140</v>
      </c>
    </row>
  </sheetData>
  <mergeCells count="1">
    <mergeCell ref="A1:L1"/>
  </mergeCells>
  <phoneticPr fontId="6" type="noConversion"/>
  <conditionalFormatting sqref="A13:A14 C13">
    <cfRule type="cellIs" priority="1" stopIfTrue="1" operator="notEqual">
      <formula>0</formula>
    </cfRule>
    <cfRule type="expression" dxfId="1" priority="2" stopIfTrue="1">
      <formula>+Highlighting_Flag</formula>
    </cfRule>
  </conditionalFormatting>
  <pageMargins left="0.22" right="0.22" top="0.75" bottom="0.75" header="0.5" footer="0.5"/>
  <pageSetup orientation="portrait"/>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T382"/>
  <sheetViews>
    <sheetView showGridLines="0" workbookViewId="0">
      <selection sqref="A1:L1"/>
    </sheetView>
  </sheetViews>
  <sheetFormatPr defaultColWidth="8.85546875" defaultRowHeight="12.75" x14ac:dyDescent="0.2"/>
  <cols>
    <col min="1" max="1" width="2.7109375" style="523" customWidth="1"/>
    <col min="2" max="2" width="9" style="523" customWidth="1"/>
    <col min="3" max="3" width="8.42578125" style="523" customWidth="1"/>
    <col min="4" max="4" width="10.42578125" style="523" customWidth="1"/>
    <col min="5" max="5" width="10.7109375" style="523" customWidth="1"/>
    <col min="6" max="6" width="8.85546875" style="523" customWidth="1"/>
    <col min="7" max="7" width="9.7109375" style="523" customWidth="1"/>
    <col min="8" max="8" width="10.42578125" style="523" customWidth="1"/>
    <col min="9" max="9" width="9.42578125" style="514" customWidth="1"/>
    <col min="10" max="10" width="8.42578125" style="523" customWidth="1"/>
    <col min="11" max="11" width="8.85546875" style="523" customWidth="1"/>
    <col min="12" max="12" width="8.42578125" style="523" customWidth="1"/>
    <col min="13" max="13" width="9.85546875" style="523" customWidth="1"/>
    <col min="14" max="14" width="3.28515625" style="523" customWidth="1"/>
    <col min="15" max="15" width="10.7109375" style="523" customWidth="1"/>
    <col min="16" max="16" width="3.28515625" style="523" customWidth="1"/>
    <col min="17" max="17" width="11.42578125" style="523" customWidth="1"/>
    <col min="18" max="18" width="3.28515625" style="523" customWidth="1"/>
    <col min="19" max="19" width="13.140625" style="523" customWidth="1"/>
    <col min="20" max="20" width="2.7109375" style="523" customWidth="1"/>
    <col min="21" max="21" width="11.42578125" style="523" customWidth="1"/>
    <col min="22" max="22" width="2.7109375" style="523" customWidth="1"/>
    <col min="23" max="23" width="11.140625" style="523" customWidth="1"/>
    <col min="24" max="24" width="3.85546875" style="523" customWidth="1"/>
    <col min="25" max="25" width="10.28515625" style="523" customWidth="1"/>
    <col min="26" max="26" width="2.42578125" style="523" customWidth="1"/>
    <col min="27" max="27" width="10.42578125" style="523" customWidth="1"/>
    <col min="28" max="28" width="2.42578125" style="523" customWidth="1"/>
    <col min="29" max="29" width="11.7109375" style="523" bestFit="1" customWidth="1"/>
    <col min="30" max="16384" width="8.85546875" style="523"/>
  </cols>
  <sheetData>
    <row r="1" spans="1:20" ht="15.75" x14ac:dyDescent="0.2">
      <c r="A1" s="1002" t="s">
        <v>244</v>
      </c>
      <c r="B1" s="1003"/>
      <c r="C1" s="1003"/>
      <c r="D1" s="1003"/>
      <c r="E1" s="1003"/>
      <c r="F1" s="1003"/>
      <c r="G1" s="1003"/>
      <c r="H1" s="1003"/>
      <c r="I1" s="1003"/>
      <c r="J1" s="1003"/>
      <c r="K1" s="1003"/>
      <c r="L1" s="1003"/>
    </row>
    <row r="3" spans="1:20" x14ac:dyDescent="0.2">
      <c r="C3" s="524" t="s">
        <v>127</v>
      </c>
      <c r="D3" s="617">
        <f ca="1">'Exit Strategies'!D15</f>
        <v>0</v>
      </c>
    </row>
    <row r="4" spans="1:20" x14ac:dyDescent="0.2">
      <c r="C4" s="524" t="s">
        <v>13</v>
      </c>
      <c r="D4" s="618">
        <f>'Exit Strategies'!D13</f>
        <v>4.7500000000000001E-2</v>
      </c>
    </row>
    <row r="5" spans="1:20" x14ac:dyDescent="0.2">
      <c r="C5" s="524" t="s">
        <v>4</v>
      </c>
      <c r="D5" s="619">
        <f>'Exit Strategies'!D14</f>
        <v>25</v>
      </c>
    </row>
    <row r="6" spans="1:20" x14ac:dyDescent="0.2">
      <c r="C6" s="561" t="s">
        <v>225</v>
      </c>
      <c r="D6" s="565">
        <v>0</v>
      </c>
    </row>
    <row r="7" spans="1:20" x14ac:dyDescent="0.2">
      <c r="C7" s="524" t="s">
        <v>3</v>
      </c>
      <c r="D7" s="620">
        <f ca="1">PMT(D4/12,(D5*12)-D6,-D3)</f>
        <v>0</v>
      </c>
    </row>
    <row r="8" spans="1:20" x14ac:dyDescent="0.2">
      <c r="C8" s="524" t="s">
        <v>17</v>
      </c>
      <c r="D8" s="621">
        <f ca="1">SUM(D17:D378)</f>
        <v>0</v>
      </c>
    </row>
    <row r="9" spans="1:20" x14ac:dyDescent="0.2">
      <c r="B9" s="523" t="s">
        <v>14</v>
      </c>
      <c r="C9" s="524"/>
      <c r="D9" s="621">
        <f ca="1">SUM(C18:C29)</f>
        <v>0</v>
      </c>
    </row>
    <row r="10" spans="1:20" x14ac:dyDescent="0.2">
      <c r="B10" s="524"/>
      <c r="C10" s="525"/>
    </row>
    <row r="11" spans="1:20" s="526" customFormat="1" ht="11.25" x14ac:dyDescent="0.2">
      <c r="B11" s="527" t="s">
        <v>0</v>
      </c>
      <c r="C11" s="528">
        <v>1</v>
      </c>
      <c r="D11" s="528">
        <f t="shared" ref="D11:L11" si="0">C11+1</f>
        <v>2</v>
      </c>
      <c r="E11" s="528">
        <f t="shared" si="0"/>
        <v>3</v>
      </c>
      <c r="F11" s="528">
        <f t="shared" si="0"/>
        <v>4</v>
      </c>
      <c r="G11" s="528">
        <f t="shared" si="0"/>
        <v>5</v>
      </c>
      <c r="H11" s="528">
        <f t="shared" si="0"/>
        <v>6</v>
      </c>
      <c r="I11" s="529">
        <f t="shared" si="0"/>
        <v>7</v>
      </c>
      <c r="J11" s="528">
        <f t="shared" si="0"/>
        <v>8</v>
      </c>
      <c r="K11" s="528">
        <f t="shared" si="0"/>
        <v>9</v>
      </c>
      <c r="L11" s="528">
        <f t="shared" si="0"/>
        <v>10</v>
      </c>
      <c r="N11" s="530"/>
      <c r="P11" s="530"/>
      <c r="R11" s="530"/>
      <c r="S11" s="531"/>
    </row>
    <row r="12" spans="1:20" s="526" customFormat="1" ht="11.25" x14ac:dyDescent="0.2">
      <c r="B12" s="532" t="s">
        <v>8</v>
      </c>
      <c r="C12" s="627">
        <f ca="1">OFFSET($G$17,12*C11,0)</f>
        <v>0</v>
      </c>
      <c r="D12" s="627">
        <f ca="1">OFFSET($G$17,12*D11,0)-C12</f>
        <v>0</v>
      </c>
      <c r="E12" s="627">
        <f ca="1">OFFSET($G$17,12*E11,0)-SUM(C12:D12)</f>
        <v>0</v>
      </c>
      <c r="F12" s="627">
        <f ca="1">OFFSET($G$17,12*F11,0)-SUM(C12:E12)</f>
        <v>0</v>
      </c>
      <c r="G12" s="627">
        <f ca="1">OFFSET($G$17,12*G11,0)-SUM(C12:F12)</f>
        <v>0</v>
      </c>
      <c r="H12" s="627">
        <f ca="1">OFFSET($G$17,12*H11,0)-SUM(C12:G12)</f>
        <v>0</v>
      </c>
      <c r="I12" s="628">
        <f ca="1">OFFSET($G$17,12*I11,0)-SUM(C12:H12)</f>
        <v>0</v>
      </c>
      <c r="J12" s="627">
        <f ca="1">OFFSET($G$17,12*J11,0)-SUM(C12:I12)</f>
        <v>0</v>
      </c>
      <c r="K12" s="627">
        <f ca="1">OFFSET($G$17,12*K11,0)-SUM(C12:J12)</f>
        <v>0</v>
      </c>
      <c r="L12" s="627">
        <f ca="1">OFFSET($G$17,12*L11,0)-SUM(C12:K12)</f>
        <v>0</v>
      </c>
      <c r="N12" s="534"/>
      <c r="P12" s="534"/>
      <c r="R12" s="534"/>
      <c r="S12" s="533"/>
    </row>
    <row r="13" spans="1:20" s="526" customFormat="1" ht="11.25" x14ac:dyDescent="0.2">
      <c r="B13" s="532" t="s">
        <v>19</v>
      </c>
      <c r="C13" s="627">
        <f ca="1">OFFSET($E$17,12*C11,0)</f>
        <v>0</v>
      </c>
      <c r="D13" s="627">
        <f ca="1">OFFSET($E$17,12*D11,0)-C13</f>
        <v>0</v>
      </c>
      <c r="E13" s="627">
        <f ca="1">OFFSET($E$17,12*E11,0)-SUM(C13:D13)</f>
        <v>0</v>
      </c>
      <c r="F13" s="627">
        <f ca="1">OFFSET($E$17,12*F11,0)-SUM(C13:E13)</f>
        <v>0</v>
      </c>
      <c r="G13" s="627">
        <f ca="1">OFFSET($E$17,12*G11,0)-SUM(C13:F13)</f>
        <v>0</v>
      </c>
      <c r="H13" s="627">
        <f ca="1">OFFSET($E$17,12*H11,0)-SUM(C13:G13)</f>
        <v>0</v>
      </c>
      <c r="I13" s="628">
        <f ca="1">OFFSET($E$17,12*I11,0)-SUM(C13:H13)</f>
        <v>0</v>
      </c>
      <c r="J13" s="627">
        <f ca="1">OFFSET($E$17,12*J11,0)-SUM(C13:I13)</f>
        <v>0</v>
      </c>
      <c r="K13" s="627">
        <f ca="1">OFFSET($E$17,12*K11,0)-SUM(C13:J13)</f>
        <v>0</v>
      </c>
      <c r="L13" s="627">
        <f ca="1">OFFSET($E$17,12*L11,0)-SUM(C13:K13)</f>
        <v>0</v>
      </c>
      <c r="N13" s="534"/>
      <c r="P13" s="534"/>
      <c r="R13" s="534"/>
      <c r="S13" s="533"/>
    </row>
    <row r="14" spans="1:20" s="526" customFormat="1" ht="11.25" x14ac:dyDescent="0.2">
      <c r="B14" s="532" t="s">
        <v>22</v>
      </c>
      <c r="C14" s="631">
        <f t="shared" ref="C14:L14" ca="1" si="1">OFFSET($H$17,C11*12,0)</f>
        <v>0</v>
      </c>
      <c r="D14" s="631">
        <f t="shared" ca="1" si="1"/>
        <v>0</v>
      </c>
      <c r="E14" s="631">
        <f t="shared" ca="1" si="1"/>
        <v>0</v>
      </c>
      <c r="F14" s="631">
        <f t="shared" ca="1" si="1"/>
        <v>0</v>
      </c>
      <c r="G14" s="631">
        <f t="shared" ca="1" si="1"/>
        <v>0</v>
      </c>
      <c r="H14" s="631">
        <f t="shared" ca="1" si="1"/>
        <v>0</v>
      </c>
      <c r="I14" s="632">
        <f t="shared" ca="1" si="1"/>
        <v>0</v>
      </c>
      <c r="J14" s="631">
        <f t="shared" ca="1" si="1"/>
        <v>0</v>
      </c>
      <c r="K14" s="631">
        <f t="shared" ca="1" si="1"/>
        <v>0</v>
      </c>
      <c r="L14" s="631">
        <f t="shared" ca="1" si="1"/>
        <v>0</v>
      </c>
      <c r="N14" s="535"/>
      <c r="P14" s="535"/>
      <c r="R14" s="535"/>
      <c r="S14" s="535"/>
      <c r="T14" s="536"/>
    </row>
    <row r="16" spans="1:20" s="537" customFormat="1" ht="22.5" x14ac:dyDescent="0.2">
      <c r="B16" s="538" t="s">
        <v>1</v>
      </c>
      <c r="C16" s="539" t="s">
        <v>18</v>
      </c>
      <c r="D16" s="540" t="s">
        <v>19</v>
      </c>
      <c r="E16" s="539" t="s">
        <v>20</v>
      </c>
      <c r="F16" s="539" t="s">
        <v>8</v>
      </c>
      <c r="G16" s="539" t="s">
        <v>21</v>
      </c>
      <c r="H16" s="539" t="s">
        <v>22</v>
      </c>
    </row>
    <row r="17" spans="2:9" x14ac:dyDescent="0.2">
      <c r="B17" s="541"/>
      <c r="C17" s="542"/>
      <c r="D17" s="543"/>
      <c r="E17" s="543"/>
      <c r="F17" s="543"/>
      <c r="G17" s="543"/>
      <c r="H17" s="544">
        <f ca="1">D3</f>
        <v>0</v>
      </c>
      <c r="I17" s="545"/>
    </row>
    <row r="18" spans="2:9" x14ac:dyDescent="0.2">
      <c r="B18" s="562">
        <f t="shared" ref="B18:B29" si="2">IF(B17&gt;=$D$5*12+$D$6,"",B17+1)</f>
        <v>1</v>
      </c>
      <c r="C18" s="563">
        <f t="shared" ref="C18:C81" ca="1" si="3">IF(B18="","-",IF(B18&lt;=$D$6,D18,  $D$7))</f>
        <v>0</v>
      </c>
      <c r="D18" s="546">
        <f t="shared" ref="D18:D81" ca="1" si="4">IF(B18="","-",$D$4/12*H17)</f>
        <v>0</v>
      </c>
      <c r="E18" s="546">
        <f ca="1">IF(B18="","-",SUM($D$18:D18))</f>
        <v>0</v>
      </c>
      <c r="F18" s="546">
        <f t="shared" ref="F18:F81" ca="1" si="5">IF(B18="","-",C18-D18)</f>
        <v>0</v>
      </c>
      <c r="G18" s="546">
        <f ca="1">IF(B18="","-",SUM($F$18:F18))</f>
        <v>0</v>
      </c>
      <c r="H18" s="546">
        <f t="shared" ref="H18:H81" ca="1" si="6">IF(B18="","-",H17-F18)</f>
        <v>0</v>
      </c>
    </row>
    <row r="19" spans="2:9" x14ac:dyDescent="0.2">
      <c r="B19" s="530">
        <f t="shared" si="2"/>
        <v>2</v>
      </c>
      <c r="C19" s="546">
        <f t="shared" ca="1" si="3"/>
        <v>0</v>
      </c>
      <c r="D19" s="546">
        <f t="shared" ca="1" si="4"/>
        <v>0</v>
      </c>
      <c r="E19" s="546">
        <f ca="1">IF(B19="","-",SUM($D$18:D19))</f>
        <v>0</v>
      </c>
      <c r="F19" s="546">
        <f t="shared" ca="1" si="5"/>
        <v>0</v>
      </c>
      <c r="G19" s="546">
        <f ca="1">IF(B19="","-",SUM($F$18:F19))</f>
        <v>0</v>
      </c>
      <c r="H19" s="546">
        <f t="shared" ca="1" si="6"/>
        <v>0</v>
      </c>
    </row>
    <row r="20" spans="2:9" x14ac:dyDescent="0.2">
      <c r="B20" s="530">
        <f t="shared" si="2"/>
        <v>3</v>
      </c>
      <c r="C20" s="546">
        <f t="shared" ca="1" si="3"/>
        <v>0</v>
      </c>
      <c r="D20" s="546">
        <f t="shared" ca="1" si="4"/>
        <v>0</v>
      </c>
      <c r="E20" s="546">
        <f ca="1">IF(B20="","-",SUM($D$18:D20))</f>
        <v>0</v>
      </c>
      <c r="F20" s="546">
        <f t="shared" ca="1" si="5"/>
        <v>0</v>
      </c>
      <c r="G20" s="546">
        <f ca="1">IF(B20="","-",SUM($F$18:F20))</f>
        <v>0</v>
      </c>
      <c r="H20" s="546">
        <f t="shared" ca="1" si="6"/>
        <v>0</v>
      </c>
    </row>
    <row r="21" spans="2:9" x14ac:dyDescent="0.2">
      <c r="B21" s="530">
        <f t="shared" si="2"/>
        <v>4</v>
      </c>
      <c r="C21" s="546">
        <f t="shared" ca="1" si="3"/>
        <v>0</v>
      </c>
      <c r="D21" s="546">
        <f t="shared" ca="1" si="4"/>
        <v>0</v>
      </c>
      <c r="E21" s="546">
        <f ca="1">IF(B21="","-",SUM($D$18:D21))</f>
        <v>0</v>
      </c>
      <c r="F21" s="546">
        <f t="shared" ca="1" si="5"/>
        <v>0</v>
      </c>
      <c r="G21" s="546">
        <f ca="1">IF(B21="","-",SUM($F$18:F21))</f>
        <v>0</v>
      </c>
      <c r="H21" s="546">
        <f t="shared" ca="1" si="6"/>
        <v>0</v>
      </c>
    </row>
    <row r="22" spans="2:9" x14ac:dyDescent="0.2">
      <c r="B22" s="530">
        <f t="shared" si="2"/>
        <v>5</v>
      </c>
      <c r="C22" s="546">
        <f t="shared" ca="1" si="3"/>
        <v>0</v>
      </c>
      <c r="D22" s="546">
        <f t="shared" ca="1" si="4"/>
        <v>0</v>
      </c>
      <c r="E22" s="546">
        <f ca="1">IF(B22="","-",SUM($D$18:D22))</f>
        <v>0</v>
      </c>
      <c r="F22" s="546">
        <f t="shared" ca="1" si="5"/>
        <v>0</v>
      </c>
      <c r="G22" s="546">
        <f ca="1">IF(B22="","-",SUM($F$18:F22))</f>
        <v>0</v>
      </c>
      <c r="H22" s="546">
        <f t="shared" ca="1" si="6"/>
        <v>0</v>
      </c>
    </row>
    <row r="23" spans="2:9" x14ac:dyDescent="0.2">
      <c r="B23" s="530">
        <f t="shared" si="2"/>
        <v>6</v>
      </c>
      <c r="C23" s="546">
        <f t="shared" ca="1" si="3"/>
        <v>0</v>
      </c>
      <c r="D23" s="546">
        <f t="shared" ca="1" si="4"/>
        <v>0</v>
      </c>
      <c r="E23" s="546">
        <f ca="1">IF(B23="","-",SUM($D$18:D23))</f>
        <v>0</v>
      </c>
      <c r="F23" s="546">
        <f t="shared" ca="1" si="5"/>
        <v>0</v>
      </c>
      <c r="G23" s="546">
        <f ca="1">IF(B23="","-",SUM($F$18:F23))</f>
        <v>0</v>
      </c>
      <c r="H23" s="546">
        <f t="shared" ca="1" si="6"/>
        <v>0</v>
      </c>
    </row>
    <row r="24" spans="2:9" x14ac:dyDescent="0.2">
      <c r="B24" s="530">
        <f t="shared" si="2"/>
        <v>7</v>
      </c>
      <c r="C24" s="546">
        <f t="shared" ca="1" si="3"/>
        <v>0</v>
      </c>
      <c r="D24" s="546">
        <f t="shared" ca="1" si="4"/>
        <v>0</v>
      </c>
      <c r="E24" s="546">
        <f ca="1">IF(B24="","-",SUM($D$18:D24))</f>
        <v>0</v>
      </c>
      <c r="F24" s="546">
        <f t="shared" ca="1" si="5"/>
        <v>0</v>
      </c>
      <c r="G24" s="546">
        <f ca="1">IF(B24="","-",SUM($F$18:F24))</f>
        <v>0</v>
      </c>
      <c r="H24" s="546">
        <f t="shared" ca="1" si="6"/>
        <v>0</v>
      </c>
    </row>
    <row r="25" spans="2:9" x14ac:dyDescent="0.2">
      <c r="B25" s="530">
        <f t="shared" si="2"/>
        <v>8</v>
      </c>
      <c r="C25" s="546">
        <f t="shared" ca="1" si="3"/>
        <v>0</v>
      </c>
      <c r="D25" s="546">
        <f t="shared" ca="1" si="4"/>
        <v>0</v>
      </c>
      <c r="E25" s="546">
        <f ca="1">IF(B25="","-",SUM($D$18:D25))</f>
        <v>0</v>
      </c>
      <c r="F25" s="546">
        <f t="shared" ca="1" si="5"/>
        <v>0</v>
      </c>
      <c r="G25" s="546">
        <f ca="1">IF(B25="","-",SUM($F$18:F25))</f>
        <v>0</v>
      </c>
      <c r="H25" s="546">
        <f t="shared" ca="1" si="6"/>
        <v>0</v>
      </c>
    </row>
    <row r="26" spans="2:9" x14ac:dyDescent="0.2">
      <c r="B26" s="530">
        <f t="shared" si="2"/>
        <v>9</v>
      </c>
      <c r="C26" s="546">
        <f t="shared" ca="1" si="3"/>
        <v>0</v>
      </c>
      <c r="D26" s="546">
        <f t="shared" ca="1" si="4"/>
        <v>0</v>
      </c>
      <c r="E26" s="546">
        <f ca="1">IF(B26="","-",SUM($D$18:D26))</f>
        <v>0</v>
      </c>
      <c r="F26" s="546">
        <f t="shared" ca="1" si="5"/>
        <v>0</v>
      </c>
      <c r="G26" s="546">
        <f ca="1">IF(B26="","-",SUM($F$18:F26))</f>
        <v>0</v>
      </c>
      <c r="H26" s="546">
        <f t="shared" ca="1" si="6"/>
        <v>0</v>
      </c>
    </row>
    <row r="27" spans="2:9" x14ac:dyDescent="0.2">
      <c r="B27" s="530">
        <f t="shared" si="2"/>
        <v>10</v>
      </c>
      <c r="C27" s="546">
        <f t="shared" ca="1" si="3"/>
        <v>0</v>
      </c>
      <c r="D27" s="546">
        <f t="shared" ca="1" si="4"/>
        <v>0</v>
      </c>
      <c r="E27" s="546">
        <f ca="1">IF(B27="","-",SUM($D$18:D27))</f>
        <v>0</v>
      </c>
      <c r="F27" s="546">
        <f t="shared" ca="1" si="5"/>
        <v>0</v>
      </c>
      <c r="G27" s="546">
        <f ca="1">IF(B27="","-",SUM($F$18:F27))</f>
        <v>0</v>
      </c>
      <c r="H27" s="546">
        <f t="shared" ca="1" si="6"/>
        <v>0</v>
      </c>
    </row>
    <row r="28" spans="2:9" x14ac:dyDescent="0.2">
      <c r="B28" s="530">
        <f t="shared" si="2"/>
        <v>11</v>
      </c>
      <c r="C28" s="546">
        <f t="shared" ca="1" si="3"/>
        <v>0</v>
      </c>
      <c r="D28" s="546">
        <f t="shared" ca="1" si="4"/>
        <v>0</v>
      </c>
      <c r="E28" s="546">
        <f ca="1">IF(B28="","-",SUM($D$18:D28))</f>
        <v>0</v>
      </c>
      <c r="F28" s="546">
        <f t="shared" ca="1" si="5"/>
        <v>0</v>
      </c>
      <c r="G28" s="546">
        <f ca="1">IF(B28="","-",SUM($F$18:F28))</f>
        <v>0</v>
      </c>
      <c r="H28" s="546">
        <f t="shared" ca="1" si="6"/>
        <v>0</v>
      </c>
    </row>
    <row r="29" spans="2:9" x14ac:dyDescent="0.2">
      <c r="B29" s="548">
        <f t="shared" si="2"/>
        <v>12</v>
      </c>
      <c r="C29" s="549">
        <f t="shared" ca="1" si="3"/>
        <v>0</v>
      </c>
      <c r="D29" s="549">
        <f t="shared" ca="1" si="4"/>
        <v>0</v>
      </c>
      <c r="E29" s="549">
        <f ca="1">IF(B29="","-",SUM($D$18:D29))</f>
        <v>0</v>
      </c>
      <c r="F29" s="549">
        <f t="shared" ca="1" si="5"/>
        <v>0</v>
      </c>
      <c r="G29" s="549">
        <f ca="1">IF(B29="","-",SUM($F$18:F29))</f>
        <v>0</v>
      </c>
      <c r="H29" s="549">
        <f t="shared" ca="1" si="6"/>
        <v>0</v>
      </c>
      <c r="I29" s="547"/>
    </row>
    <row r="30" spans="2:9" x14ac:dyDescent="0.2">
      <c r="B30" s="530">
        <f t="shared" ref="B30:B93" si="7">IF(B29&gt;=$D$5*12,"",B29+1)</f>
        <v>13</v>
      </c>
      <c r="C30" s="546">
        <f t="shared" ca="1" si="3"/>
        <v>0</v>
      </c>
      <c r="D30" s="546">
        <f t="shared" ca="1" si="4"/>
        <v>0</v>
      </c>
      <c r="E30" s="546">
        <f ca="1">IF(B30="","-",SUM($D$18:D30))</f>
        <v>0</v>
      </c>
      <c r="F30" s="546">
        <f t="shared" ca="1" si="5"/>
        <v>0</v>
      </c>
      <c r="G30" s="546">
        <f ca="1">IF(B30="","-",SUM($F$18:F30))</f>
        <v>0</v>
      </c>
      <c r="H30" s="546">
        <f t="shared" ca="1" si="6"/>
        <v>0</v>
      </c>
    </row>
    <row r="31" spans="2:9" x14ac:dyDescent="0.2">
      <c r="B31" s="530">
        <f t="shared" si="7"/>
        <v>14</v>
      </c>
      <c r="C31" s="546">
        <f t="shared" ca="1" si="3"/>
        <v>0</v>
      </c>
      <c r="D31" s="546">
        <f t="shared" ca="1" si="4"/>
        <v>0</v>
      </c>
      <c r="E31" s="546">
        <f ca="1">IF(B31="","-",SUM($D$18:D31))</f>
        <v>0</v>
      </c>
      <c r="F31" s="546">
        <f t="shared" ca="1" si="5"/>
        <v>0</v>
      </c>
      <c r="G31" s="546">
        <f ca="1">IF(B31="","-",SUM($F$18:F31))</f>
        <v>0</v>
      </c>
      <c r="H31" s="546">
        <f t="shared" ca="1" si="6"/>
        <v>0</v>
      </c>
    </row>
    <row r="32" spans="2:9" x14ac:dyDescent="0.2">
      <c r="B32" s="530">
        <f t="shared" si="7"/>
        <v>15</v>
      </c>
      <c r="C32" s="546">
        <f t="shared" ca="1" si="3"/>
        <v>0</v>
      </c>
      <c r="D32" s="546">
        <f t="shared" ca="1" si="4"/>
        <v>0</v>
      </c>
      <c r="E32" s="546">
        <f ca="1">IF(B32="","-",SUM($D$18:D32))</f>
        <v>0</v>
      </c>
      <c r="F32" s="546">
        <f t="shared" ca="1" si="5"/>
        <v>0</v>
      </c>
      <c r="G32" s="546">
        <f ca="1">IF(B32="","-",SUM($F$18:F32))</f>
        <v>0</v>
      </c>
      <c r="H32" s="546">
        <f t="shared" ca="1" si="6"/>
        <v>0</v>
      </c>
    </row>
    <row r="33" spans="2:11" x14ac:dyDescent="0.2">
      <c r="B33" s="530">
        <f t="shared" si="7"/>
        <v>16</v>
      </c>
      <c r="C33" s="546">
        <f t="shared" ca="1" si="3"/>
        <v>0</v>
      </c>
      <c r="D33" s="546">
        <f t="shared" ca="1" si="4"/>
        <v>0</v>
      </c>
      <c r="E33" s="546">
        <f ca="1">IF(B33="","-",SUM($D$18:D33))</f>
        <v>0</v>
      </c>
      <c r="F33" s="546">
        <f t="shared" ca="1" si="5"/>
        <v>0</v>
      </c>
      <c r="G33" s="546">
        <f ca="1">IF(B33="","-",SUM($F$18:F33))</f>
        <v>0</v>
      </c>
      <c r="H33" s="546">
        <f t="shared" ca="1" si="6"/>
        <v>0</v>
      </c>
    </row>
    <row r="34" spans="2:11" x14ac:dyDescent="0.2">
      <c r="B34" s="530">
        <f t="shared" si="7"/>
        <v>17</v>
      </c>
      <c r="C34" s="546">
        <f t="shared" ca="1" si="3"/>
        <v>0</v>
      </c>
      <c r="D34" s="546">
        <f t="shared" ca="1" si="4"/>
        <v>0</v>
      </c>
      <c r="E34" s="546">
        <f ca="1">IF(B34="","-",SUM($D$18:D34))</f>
        <v>0</v>
      </c>
      <c r="F34" s="546">
        <f t="shared" ca="1" si="5"/>
        <v>0</v>
      </c>
      <c r="G34" s="546">
        <f ca="1">IF(B34="","-",SUM($F$18:F34))</f>
        <v>0</v>
      </c>
      <c r="H34" s="546">
        <f t="shared" ca="1" si="6"/>
        <v>0</v>
      </c>
    </row>
    <row r="35" spans="2:11" x14ac:dyDescent="0.2">
      <c r="B35" s="530">
        <f t="shared" si="7"/>
        <v>18</v>
      </c>
      <c r="C35" s="546">
        <f t="shared" ca="1" si="3"/>
        <v>0</v>
      </c>
      <c r="D35" s="546">
        <f t="shared" ca="1" si="4"/>
        <v>0</v>
      </c>
      <c r="E35" s="546">
        <f ca="1">IF(B35="","-",SUM($D$18:D35))</f>
        <v>0</v>
      </c>
      <c r="F35" s="546">
        <f t="shared" ca="1" si="5"/>
        <v>0</v>
      </c>
      <c r="G35" s="546">
        <f ca="1">IF(B35="","-",SUM($F$18:F35))</f>
        <v>0</v>
      </c>
      <c r="H35" s="546">
        <f t="shared" ca="1" si="6"/>
        <v>0</v>
      </c>
    </row>
    <row r="36" spans="2:11" x14ac:dyDescent="0.2">
      <c r="B36" s="530">
        <f t="shared" si="7"/>
        <v>19</v>
      </c>
      <c r="C36" s="546">
        <f t="shared" ca="1" si="3"/>
        <v>0</v>
      </c>
      <c r="D36" s="546">
        <f t="shared" ca="1" si="4"/>
        <v>0</v>
      </c>
      <c r="E36" s="546">
        <f ca="1">IF(B36="","-",SUM($D$18:D36))</f>
        <v>0</v>
      </c>
      <c r="F36" s="546">
        <f t="shared" ca="1" si="5"/>
        <v>0</v>
      </c>
      <c r="G36" s="546">
        <f ca="1">IF(B36="","-",SUM($F$18:F36))</f>
        <v>0</v>
      </c>
      <c r="H36" s="546">
        <f t="shared" ca="1" si="6"/>
        <v>0</v>
      </c>
    </row>
    <row r="37" spans="2:11" x14ac:dyDescent="0.2">
      <c r="B37" s="530">
        <f t="shared" si="7"/>
        <v>20</v>
      </c>
      <c r="C37" s="546">
        <f t="shared" ca="1" si="3"/>
        <v>0</v>
      </c>
      <c r="D37" s="546">
        <f t="shared" ca="1" si="4"/>
        <v>0</v>
      </c>
      <c r="E37" s="546">
        <f ca="1">IF(B37="","-",SUM($D$18:D37))</f>
        <v>0</v>
      </c>
      <c r="F37" s="546">
        <f t="shared" ca="1" si="5"/>
        <v>0</v>
      </c>
      <c r="G37" s="546">
        <f ca="1">IF(B37="","-",SUM($F$18:F37))</f>
        <v>0</v>
      </c>
      <c r="H37" s="546">
        <f t="shared" ca="1" si="6"/>
        <v>0</v>
      </c>
    </row>
    <row r="38" spans="2:11" x14ac:dyDescent="0.2">
      <c r="B38" s="530">
        <f t="shared" si="7"/>
        <v>21</v>
      </c>
      <c r="C38" s="546">
        <f t="shared" ca="1" si="3"/>
        <v>0</v>
      </c>
      <c r="D38" s="546">
        <f t="shared" ca="1" si="4"/>
        <v>0</v>
      </c>
      <c r="E38" s="546">
        <f ca="1">IF(B38="","-",SUM($D$18:D38))</f>
        <v>0</v>
      </c>
      <c r="F38" s="546">
        <f t="shared" ca="1" si="5"/>
        <v>0</v>
      </c>
      <c r="G38" s="546">
        <f ca="1">IF(B38="","-",SUM($F$18:F38))</f>
        <v>0</v>
      </c>
      <c r="H38" s="546">
        <f t="shared" ca="1" si="6"/>
        <v>0</v>
      </c>
    </row>
    <row r="39" spans="2:11" x14ac:dyDescent="0.2">
      <c r="B39" s="530">
        <f t="shared" si="7"/>
        <v>22</v>
      </c>
      <c r="C39" s="546">
        <f t="shared" ca="1" si="3"/>
        <v>0</v>
      </c>
      <c r="D39" s="546">
        <f t="shared" ca="1" si="4"/>
        <v>0</v>
      </c>
      <c r="E39" s="546">
        <f ca="1">IF(B39="","-",SUM($D$18:D39))</f>
        <v>0</v>
      </c>
      <c r="F39" s="546">
        <f t="shared" ca="1" si="5"/>
        <v>0</v>
      </c>
      <c r="G39" s="546">
        <f ca="1">IF(B39="","-",SUM($F$18:F39))</f>
        <v>0</v>
      </c>
      <c r="H39" s="546">
        <f t="shared" ca="1" si="6"/>
        <v>0</v>
      </c>
    </row>
    <row r="40" spans="2:11" x14ac:dyDescent="0.2">
      <c r="B40" s="530">
        <f t="shared" si="7"/>
        <v>23</v>
      </c>
      <c r="C40" s="546">
        <f t="shared" ca="1" si="3"/>
        <v>0</v>
      </c>
      <c r="D40" s="546">
        <f t="shared" ca="1" si="4"/>
        <v>0</v>
      </c>
      <c r="E40" s="546">
        <f ca="1">IF(B40="","-",SUM($D$18:D40))</f>
        <v>0</v>
      </c>
      <c r="F40" s="546">
        <f t="shared" ca="1" si="5"/>
        <v>0</v>
      </c>
      <c r="G40" s="546">
        <f ca="1">IF(B40="","-",SUM($F$18:F40))</f>
        <v>0</v>
      </c>
      <c r="H40" s="546">
        <f t="shared" ca="1" si="6"/>
        <v>0</v>
      </c>
    </row>
    <row r="41" spans="2:11" x14ac:dyDescent="0.2">
      <c r="B41" s="548">
        <f t="shared" si="7"/>
        <v>24</v>
      </c>
      <c r="C41" s="549">
        <f t="shared" ca="1" si="3"/>
        <v>0</v>
      </c>
      <c r="D41" s="549">
        <f t="shared" ca="1" si="4"/>
        <v>0</v>
      </c>
      <c r="E41" s="549">
        <f ca="1">IF(B41="","-",SUM($D$18:D41))</f>
        <v>0</v>
      </c>
      <c r="F41" s="549">
        <f t="shared" ca="1" si="5"/>
        <v>0</v>
      </c>
      <c r="G41" s="549">
        <f ca="1">IF(B41="","-",SUM($F$18:F41))</f>
        <v>0</v>
      </c>
      <c r="H41" s="549">
        <f t="shared" ca="1" si="6"/>
        <v>0</v>
      </c>
      <c r="I41" s="547"/>
      <c r="K41" s="555"/>
    </row>
    <row r="42" spans="2:11" x14ac:dyDescent="0.2">
      <c r="B42" s="530">
        <f t="shared" si="7"/>
        <v>25</v>
      </c>
      <c r="C42" s="546">
        <f t="shared" ca="1" si="3"/>
        <v>0</v>
      </c>
      <c r="D42" s="546">
        <f t="shared" ca="1" si="4"/>
        <v>0</v>
      </c>
      <c r="E42" s="546">
        <f ca="1">IF(B42="","-",SUM($D$18:D42))</f>
        <v>0</v>
      </c>
      <c r="F42" s="546">
        <f t="shared" ca="1" si="5"/>
        <v>0</v>
      </c>
      <c r="G42" s="546">
        <f ca="1">IF(B42="","-",SUM($F$18:F42))</f>
        <v>0</v>
      </c>
      <c r="H42" s="546">
        <f t="shared" ca="1" si="6"/>
        <v>0</v>
      </c>
    </row>
    <row r="43" spans="2:11" x14ac:dyDescent="0.2">
      <c r="B43" s="530">
        <f t="shared" si="7"/>
        <v>26</v>
      </c>
      <c r="C43" s="546">
        <f t="shared" ca="1" si="3"/>
        <v>0</v>
      </c>
      <c r="D43" s="546">
        <f t="shared" ca="1" si="4"/>
        <v>0</v>
      </c>
      <c r="E43" s="546">
        <f ca="1">IF(B43="","-",SUM($D$18:D43))</f>
        <v>0</v>
      </c>
      <c r="F43" s="546">
        <f t="shared" ca="1" si="5"/>
        <v>0</v>
      </c>
      <c r="G43" s="546">
        <f ca="1">IF(B43="","-",SUM($F$18:F43))</f>
        <v>0</v>
      </c>
      <c r="H43" s="546">
        <f t="shared" ca="1" si="6"/>
        <v>0</v>
      </c>
    </row>
    <row r="44" spans="2:11" x14ac:dyDescent="0.2">
      <c r="B44" s="530">
        <f t="shared" si="7"/>
        <v>27</v>
      </c>
      <c r="C44" s="546">
        <f t="shared" ca="1" si="3"/>
        <v>0</v>
      </c>
      <c r="D44" s="546">
        <f t="shared" ca="1" si="4"/>
        <v>0</v>
      </c>
      <c r="E44" s="546">
        <f ca="1">IF(B44="","-",SUM($D$18:D44))</f>
        <v>0</v>
      </c>
      <c r="F44" s="546">
        <f t="shared" ca="1" si="5"/>
        <v>0</v>
      </c>
      <c r="G44" s="546">
        <f ca="1">IF(B44="","-",SUM($F$18:F44))</f>
        <v>0</v>
      </c>
      <c r="H44" s="546">
        <f t="shared" ca="1" si="6"/>
        <v>0</v>
      </c>
    </row>
    <row r="45" spans="2:11" x14ac:dyDescent="0.2">
      <c r="B45" s="530">
        <f t="shared" si="7"/>
        <v>28</v>
      </c>
      <c r="C45" s="546">
        <f t="shared" ca="1" si="3"/>
        <v>0</v>
      </c>
      <c r="D45" s="546">
        <f t="shared" ca="1" si="4"/>
        <v>0</v>
      </c>
      <c r="E45" s="546">
        <f ca="1">IF(B45="","-",SUM($D$18:D45))</f>
        <v>0</v>
      </c>
      <c r="F45" s="546">
        <f t="shared" ca="1" si="5"/>
        <v>0</v>
      </c>
      <c r="G45" s="546">
        <f ca="1">IF(B45="","-",SUM($F$18:F45))</f>
        <v>0</v>
      </c>
      <c r="H45" s="546">
        <f t="shared" ca="1" si="6"/>
        <v>0</v>
      </c>
    </row>
    <row r="46" spans="2:11" x14ac:dyDescent="0.2">
      <c r="B46" s="530">
        <f t="shared" si="7"/>
        <v>29</v>
      </c>
      <c r="C46" s="546">
        <f t="shared" ca="1" si="3"/>
        <v>0</v>
      </c>
      <c r="D46" s="546">
        <f t="shared" ca="1" si="4"/>
        <v>0</v>
      </c>
      <c r="E46" s="546">
        <f ca="1">IF(B46="","-",SUM($D$18:D46))</f>
        <v>0</v>
      </c>
      <c r="F46" s="546">
        <f t="shared" ca="1" si="5"/>
        <v>0</v>
      </c>
      <c r="G46" s="546">
        <f ca="1">IF(B46="","-",SUM($F$18:F46))</f>
        <v>0</v>
      </c>
      <c r="H46" s="546">
        <f t="shared" ca="1" si="6"/>
        <v>0</v>
      </c>
    </row>
    <row r="47" spans="2:11" x14ac:dyDescent="0.2">
      <c r="B47" s="530">
        <f t="shared" si="7"/>
        <v>30</v>
      </c>
      <c r="C47" s="546">
        <f t="shared" ca="1" si="3"/>
        <v>0</v>
      </c>
      <c r="D47" s="546">
        <f t="shared" ca="1" si="4"/>
        <v>0</v>
      </c>
      <c r="E47" s="546">
        <f ca="1">IF(B47="","-",SUM($D$18:D47))</f>
        <v>0</v>
      </c>
      <c r="F47" s="546">
        <f t="shared" ca="1" si="5"/>
        <v>0</v>
      </c>
      <c r="G47" s="546">
        <f ca="1">IF(B47="","-",SUM($F$18:F47))</f>
        <v>0</v>
      </c>
      <c r="H47" s="546">
        <f t="shared" ca="1" si="6"/>
        <v>0</v>
      </c>
    </row>
    <row r="48" spans="2:11" x14ac:dyDescent="0.2">
      <c r="B48" s="530">
        <f t="shared" si="7"/>
        <v>31</v>
      </c>
      <c r="C48" s="546">
        <f t="shared" ca="1" si="3"/>
        <v>0</v>
      </c>
      <c r="D48" s="546">
        <f t="shared" ca="1" si="4"/>
        <v>0</v>
      </c>
      <c r="E48" s="546">
        <f ca="1">IF(B48="","-",SUM($D$18:D48))</f>
        <v>0</v>
      </c>
      <c r="F48" s="546">
        <f t="shared" ca="1" si="5"/>
        <v>0</v>
      </c>
      <c r="G48" s="546">
        <f ca="1">IF(B48="","-",SUM($F$18:F48))</f>
        <v>0</v>
      </c>
      <c r="H48" s="546">
        <f t="shared" ca="1" si="6"/>
        <v>0</v>
      </c>
    </row>
    <row r="49" spans="2:9" x14ac:dyDescent="0.2">
      <c r="B49" s="530">
        <f t="shared" si="7"/>
        <v>32</v>
      </c>
      <c r="C49" s="546">
        <f t="shared" ca="1" si="3"/>
        <v>0</v>
      </c>
      <c r="D49" s="546">
        <f t="shared" ca="1" si="4"/>
        <v>0</v>
      </c>
      <c r="E49" s="546">
        <f ca="1">IF(B49="","-",SUM($D$18:D49))</f>
        <v>0</v>
      </c>
      <c r="F49" s="546">
        <f t="shared" ca="1" si="5"/>
        <v>0</v>
      </c>
      <c r="G49" s="546">
        <f ca="1">IF(B49="","-",SUM($F$18:F49))</f>
        <v>0</v>
      </c>
      <c r="H49" s="546">
        <f t="shared" ca="1" si="6"/>
        <v>0</v>
      </c>
    </row>
    <row r="50" spans="2:9" x14ac:dyDescent="0.2">
      <c r="B50" s="530">
        <f t="shared" si="7"/>
        <v>33</v>
      </c>
      <c r="C50" s="546">
        <f t="shared" ca="1" si="3"/>
        <v>0</v>
      </c>
      <c r="D50" s="546">
        <f t="shared" ca="1" si="4"/>
        <v>0</v>
      </c>
      <c r="E50" s="546">
        <f ca="1">IF(B50="","-",SUM($D$18:D50))</f>
        <v>0</v>
      </c>
      <c r="F50" s="546">
        <f t="shared" ca="1" si="5"/>
        <v>0</v>
      </c>
      <c r="G50" s="546">
        <f ca="1">IF(B50="","-",SUM($F$18:F50))</f>
        <v>0</v>
      </c>
      <c r="H50" s="546">
        <f t="shared" ca="1" si="6"/>
        <v>0</v>
      </c>
    </row>
    <row r="51" spans="2:9" x14ac:dyDescent="0.2">
      <c r="B51" s="530">
        <f t="shared" si="7"/>
        <v>34</v>
      </c>
      <c r="C51" s="546">
        <f t="shared" ca="1" si="3"/>
        <v>0</v>
      </c>
      <c r="D51" s="546">
        <f t="shared" ca="1" si="4"/>
        <v>0</v>
      </c>
      <c r="E51" s="546">
        <f ca="1">IF(B51="","-",SUM($D$18:D51))</f>
        <v>0</v>
      </c>
      <c r="F51" s="546">
        <f t="shared" ca="1" si="5"/>
        <v>0</v>
      </c>
      <c r="G51" s="546">
        <f ca="1">IF(B51="","-",SUM($F$18:F51))</f>
        <v>0</v>
      </c>
      <c r="H51" s="546">
        <f t="shared" ca="1" si="6"/>
        <v>0</v>
      </c>
    </row>
    <row r="52" spans="2:9" x14ac:dyDescent="0.2">
      <c r="B52" s="530">
        <f t="shared" si="7"/>
        <v>35</v>
      </c>
      <c r="C52" s="546">
        <f t="shared" ca="1" si="3"/>
        <v>0</v>
      </c>
      <c r="D52" s="546">
        <f t="shared" ca="1" si="4"/>
        <v>0</v>
      </c>
      <c r="E52" s="546">
        <f ca="1">IF(B52="","-",SUM($D$18:D52))</f>
        <v>0</v>
      </c>
      <c r="F52" s="546">
        <f t="shared" ca="1" si="5"/>
        <v>0</v>
      </c>
      <c r="G52" s="546">
        <f ca="1">IF(B52="","-",SUM($F$18:F52))</f>
        <v>0</v>
      </c>
      <c r="H52" s="546">
        <f t="shared" ca="1" si="6"/>
        <v>0</v>
      </c>
    </row>
    <row r="53" spans="2:9" x14ac:dyDescent="0.2">
      <c r="B53" s="548">
        <f t="shared" si="7"/>
        <v>36</v>
      </c>
      <c r="C53" s="549">
        <f t="shared" ca="1" si="3"/>
        <v>0</v>
      </c>
      <c r="D53" s="549">
        <f t="shared" ca="1" si="4"/>
        <v>0</v>
      </c>
      <c r="E53" s="549">
        <f ca="1">IF(B53="","-",SUM($D$18:D53))</f>
        <v>0</v>
      </c>
      <c r="F53" s="549">
        <f t="shared" ca="1" si="5"/>
        <v>0</v>
      </c>
      <c r="G53" s="549">
        <f ca="1">IF(B53="","-",SUM($F$18:F53))</f>
        <v>0</v>
      </c>
      <c r="H53" s="549">
        <f t="shared" ca="1" si="6"/>
        <v>0</v>
      </c>
      <c r="I53" s="547"/>
    </row>
    <row r="54" spans="2:9" x14ac:dyDescent="0.2">
      <c r="B54" s="530">
        <f t="shared" si="7"/>
        <v>37</v>
      </c>
      <c r="C54" s="546">
        <f t="shared" ca="1" si="3"/>
        <v>0</v>
      </c>
      <c r="D54" s="546">
        <f t="shared" ca="1" si="4"/>
        <v>0</v>
      </c>
      <c r="E54" s="546">
        <f ca="1">IF(B54="","-",SUM($D$18:D54))</f>
        <v>0</v>
      </c>
      <c r="F54" s="546">
        <f t="shared" ca="1" si="5"/>
        <v>0</v>
      </c>
      <c r="G54" s="546">
        <f ca="1">IF(B54="","-",SUM($F$18:F54))</f>
        <v>0</v>
      </c>
      <c r="H54" s="546">
        <f t="shared" ca="1" si="6"/>
        <v>0</v>
      </c>
    </row>
    <row r="55" spans="2:9" x14ac:dyDescent="0.2">
      <c r="B55" s="530">
        <f t="shared" si="7"/>
        <v>38</v>
      </c>
      <c r="C55" s="546">
        <f t="shared" ca="1" si="3"/>
        <v>0</v>
      </c>
      <c r="D55" s="546">
        <f t="shared" ca="1" si="4"/>
        <v>0</v>
      </c>
      <c r="E55" s="546">
        <f ca="1">IF(B55="","-",SUM($D$18:D55))</f>
        <v>0</v>
      </c>
      <c r="F55" s="546">
        <f t="shared" ca="1" si="5"/>
        <v>0</v>
      </c>
      <c r="G55" s="546">
        <f ca="1">IF(B55="","-",SUM($F$18:F55))</f>
        <v>0</v>
      </c>
      <c r="H55" s="546">
        <f t="shared" ca="1" si="6"/>
        <v>0</v>
      </c>
    </row>
    <row r="56" spans="2:9" x14ac:dyDescent="0.2">
      <c r="B56" s="530">
        <f t="shared" si="7"/>
        <v>39</v>
      </c>
      <c r="C56" s="546">
        <f t="shared" ca="1" si="3"/>
        <v>0</v>
      </c>
      <c r="D56" s="546">
        <f t="shared" ca="1" si="4"/>
        <v>0</v>
      </c>
      <c r="E56" s="546">
        <f ca="1">IF(B56="","-",SUM($D$18:D56))</f>
        <v>0</v>
      </c>
      <c r="F56" s="546">
        <f t="shared" ca="1" si="5"/>
        <v>0</v>
      </c>
      <c r="G56" s="546">
        <f ca="1">IF(B56="","-",SUM($F$18:F56))</f>
        <v>0</v>
      </c>
      <c r="H56" s="546">
        <f t="shared" ca="1" si="6"/>
        <v>0</v>
      </c>
    </row>
    <row r="57" spans="2:9" x14ac:dyDescent="0.2">
      <c r="B57" s="530">
        <f t="shared" si="7"/>
        <v>40</v>
      </c>
      <c r="C57" s="546">
        <f t="shared" ca="1" si="3"/>
        <v>0</v>
      </c>
      <c r="D57" s="546">
        <f t="shared" ca="1" si="4"/>
        <v>0</v>
      </c>
      <c r="E57" s="546">
        <f ca="1">IF(B57="","-",SUM($D$18:D57))</f>
        <v>0</v>
      </c>
      <c r="F57" s="546">
        <f t="shared" ca="1" si="5"/>
        <v>0</v>
      </c>
      <c r="G57" s="546">
        <f ca="1">IF(B57="","-",SUM($F$18:F57))</f>
        <v>0</v>
      </c>
      <c r="H57" s="546">
        <f t="shared" ca="1" si="6"/>
        <v>0</v>
      </c>
    </row>
    <row r="58" spans="2:9" x14ac:dyDescent="0.2">
      <c r="B58" s="530">
        <f t="shared" si="7"/>
        <v>41</v>
      </c>
      <c r="C58" s="546">
        <f t="shared" ca="1" si="3"/>
        <v>0</v>
      </c>
      <c r="D58" s="546">
        <f t="shared" ca="1" si="4"/>
        <v>0</v>
      </c>
      <c r="E58" s="546">
        <f ca="1">IF(B58="","-",SUM($D$18:D58))</f>
        <v>0</v>
      </c>
      <c r="F58" s="546">
        <f t="shared" ca="1" si="5"/>
        <v>0</v>
      </c>
      <c r="G58" s="546">
        <f ca="1">IF(B58="","-",SUM($F$18:F58))</f>
        <v>0</v>
      </c>
      <c r="H58" s="546">
        <f t="shared" ca="1" si="6"/>
        <v>0</v>
      </c>
    </row>
    <row r="59" spans="2:9" x14ac:dyDescent="0.2">
      <c r="B59" s="530">
        <f t="shared" si="7"/>
        <v>42</v>
      </c>
      <c r="C59" s="546">
        <f t="shared" ca="1" si="3"/>
        <v>0</v>
      </c>
      <c r="D59" s="546">
        <f t="shared" ca="1" si="4"/>
        <v>0</v>
      </c>
      <c r="E59" s="546">
        <f ca="1">IF(B59="","-",SUM($D$18:D59))</f>
        <v>0</v>
      </c>
      <c r="F59" s="546">
        <f t="shared" ca="1" si="5"/>
        <v>0</v>
      </c>
      <c r="G59" s="546">
        <f ca="1">IF(B59="","-",SUM($F$18:F59))</f>
        <v>0</v>
      </c>
      <c r="H59" s="546">
        <f t="shared" ca="1" si="6"/>
        <v>0</v>
      </c>
    </row>
    <row r="60" spans="2:9" x14ac:dyDescent="0.2">
      <c r="B60" s="530">
        <f t="shared" si="7"/>
        <v>43</v>
      </c>
      <c r="C60" s="546">
        <f t="shared" ca="1" si="3"/>
        <v>0</v>
      </c>
      <c r="D60" s="546">
        <f t="shared" ca="1" si="4"/>
        <v>0</v>
      </c>
      <c r="E60" s="546">
        <f ca="1">IF(B60="","-",SUM($D$18:D60))</f>
        <v>0</v>
      </c>
      <c r="F60" s="546">
        <f t="shared" ca="1" si="5"/>
        <v>0</v>
      </c>
      <c r="G60" s="546">
        <f ca="1">IF(B60="","-",SUM($F$18:F60))</f>
        <v>0</v>
      </c>
      <c r="H60" s="546">
        <f t="shared" ca="1" si="6"/>
        <v>0</v>
      </c>
    </row>
    <row r="61" spans="2:9" x14ac:dyDescent="0.2">
      <c r="B61" s="530">
        <f t="shared" si="7"/>
        <v>44</v>
      </c>
      <c r="C61" s="546">
        <f t="shared" ca="1" si="3"/>
        <v>0</v>
      </c>
      <c r="D61" s="546">
        <f t="shared" ca="1" si="4"/>
        <v>0</v>
      </c>
      <c r="E61" s="546">
        <f ca="1">IF(B61="","-",SUM($D$18:D61))</f>
        <v>0</v>
      </c>
      <c r="F61" s="546">
        <f t="shared" ca="1" si="5"/>
        <v>0</v>
      </c>
      <c r="G61" s="546">
        <f ca="1">IF(B61="","-",SUM($F$18:F61))</f>
        <v>0</v>
      </c>
      <c r="H61" s="546">
        <f t="shared" ca="1" si="6"/>
        <v>0</v>
      </c>
    </row>
    <row r="62" spans="2:9" x14ac:dyDescent="0.2">
      <c r="B62" s="530">
        <f t="shared" si="7"/>
        <v>45</v>
      </c>
      <c r="C62" s="546">
        <f t="shared" ca="1" si="3"/>
        <v>0</v>
      </c>
      <c r="D62" s="546">
        <f t="shared" ca="1" si="4"/>
        <v>0</v>
      </c>
      <c r="E62" s="546">
        <f ca="1">IF(B62="","-",SUM($D$18:D62))</f>
        <v>0</v>
      </c>
      <c r="F62" s="546">
        <f t="shared" ca="1" si="5"/>
        <v>0</v>
      </c>
      <c r="G62" s="546">
        <f ca="1">IF(B62="","-",SUM($F$18:F62))</f>
        <v>0</v>
      </c>
      <c r="H62" s="546">
        <f t="shared" ca="1" si="6"/>
        <v>0</v>
      </c>
    </row>
    <row r="63" spans="2:9" x14ac:dyDescent="0.2">
      <c r="B63" s="530">
        <f t="shared" si="7"/>
        <v>46</v>
      </c>
      <c r="C63" s="546">
        <f t="shared" ca="1" si="3"/>
        <v>0</v>
      </c>
      <c r="D63" s="546">
        <f t="shared" ca="1" si="4"/>
        <v>0</v>
      </c>
      <c r="E63" s="546">
        <f ca="1">IF(B63="","-",SUM($D$18:D63))</f>
        <v>0</v>
      </c>
      <c r="F63" s="546">
        <f t="shared" ca="1" si="5"/>
        <v>0</v>
      </c>
      <c r="G63" s="546">
        <f ca="1">IF(B63="","-",SUM($F$18:F63))</f>
        <v>0</v>
      </c>
      <c r="H63" s="546">
        <f t="shared" ca="1" si="6"/>
        <v>0</v>
      </c>
    </row>
    <row r="64" spans="2:9" x14ac:dyDescent="0.2">
      <c r="B64" s="530">
        <f t="shared" si="7"/>
        <v>47</v>
      </c>
      <c r="C64" s="546">
        <f t="shared" ca="1" si="3"/>
        <v>0</v>
      </c>
      <c r="D64" s="546">
        <f t="shared" ca="1" si="4"/>
        <v>0</v>
      </c>
      <c r="E64" s="546">
        <f ca="1">IF(B64="","-",SUM($D$18:D64))</f>
        <v>0</v>
      </c>
      <c r="F64" s="546">
        <f t="shared" ca="1" si="5"/>
        <v>0</v>
      </c>
      <c r="G64" s="546">
        <f ca="1">IF(B64="","-",SUM($F$18:F64))</f>
        <v>0</v>
      </c>
      <c r="H64" s="546">
        <f t="shared" ca="1" si="6"/>
        <v>0</v>
      </c>
    </row>
    <row r="65" spans="2:9" x14ac:dyDescent="0.2">
      <c r="B65" s="548">
        <f>IF(B64&gt;=$D$5*12,"",B64+1)</f>
        <v>48</v>
      </c>
      <c r="C65" s="549">
        <f t="shared" ca="1" si="3"/>
        <v>0</v>
      </c>
      <c r="D65" s="549">
        <f t="shared" ca="1" si="4"/>
        <v>0</v>
      </c>
      <c r="E65" s="549">
        <f ca="1">IF(B65="","-",SUM($D$18:D65))</f>
        <v>0</v>
      </c>
      <c r="F65" s="549">
        <f t="shared" ca="1" si="5"/>
        <v>0</v>
      </c>
      <c r="G65" s="549">
        <f ca="1">IF(B65="","-",SUM($F$18:F65))</f>
        <v>0</v>
      </c>
      <c r="H65" s="549">
        <f t="shared" ca="1" si="6"/>
        <v>0</v>
      </c>
      <c r="I65" s="547"/>
    </row>
    <row r="66" spans="2:9" x14ac:dyDescent="0.2">
      <c r="B66" s="530">
        <f t="shared" si="7"/>
        <v>49</v>
      </c>
      <c r="C66" s="546">
        <f t="shared" ca="1" si="3"/>
        <v>0</v>
      </c>
      <c r="D66" s="546">
        <f t="shared" ca="1" si="4"/>
        <v>0</v>
      </c>
      <c r="E66" s="546">
        <f ca="1">IF(B66="","-",SUM($D$18:D66))</f>
        <v>0</v>
      </c>
      <c r="F66" s="546">
        <f t="shared" ca="1" si="5"/>
        <v>0</v>
      </c>
      <c r="G66" s="546">
        <f ca="1">IF(B66="","-",SUM($F$18:F66))</f>
        <v>0</v>
      </c>
      <c r="H66" s="546">
        <f t="shared" ca="1" si="6"/>
        <v>0</v>
      </c>
    </row>
    <row r="67" spans="2:9" x14ac:dyDescent="0.2">
      <c r="B67" s="530">
        <f t="shared" si="7"/>
        <v>50</v>
      </c>
      <c r="C67" s="546">
        <f t="shared" ca="1" si="3"/>
        <v>0</v>
      </c>
      <c r="D67" s="546">
        <f t="shared" ca="1" si="4"/>
        <v>0</v>
      </c>
      <c r="E67" s="546">
        <f ca="1">IF(B67="","-",SUM($D$18:D67))</f>
        <v>0</v>
      </c>
      <c r="F67" s="546">
        <f t="shared" ca="1" si="5"/>
        <v>0</v>
      </c>
      <c r="G67" s="546">
        <f ca="1">IF(B67="","-",SUM($F$18:F67))</f>
        <v>0</v>
      </c>
      <c r="H67" s="546">
        <f t="shared" ca="1" si="6"/>
        <v>0</v>
      </c>
    </row>
    <row r="68" spans="2:9" x14ac:dyDescent="0.2">
      <c r="B68" s="530">
        <f t="shared" si="7"/>
        <v>51</v>
      </c>
      <c r="C68" s="546">
        <f t="shared" ca="1" si="3"/>
        <v>0</v>
      </c>
      <c r="D68" s="546">
        <f t="shared" ca="1" si="4"/>
        <v>0</v>
      </c>
      <c r="E68" s="546">
        <f ca="1">IF(B68="","-",SUM($D$18:D68))</f>
        <v>0</v>
      </c>
      <c r="F68" s="546">
        <f t="shared" ca="1" si="5"/>
        <v>0</v>
      </c>
      <c r="G68" s="546">
        <f ca="1">IF(B68="","-",SUM($F$18:F68))</f>
        <v>0</v>
      </c>
      <c r="H68" s="546">
        <f t="shared" ca="1" si="6"/>
        <v>0</v>
      </c>
    </row>
    <row r="69" spans="2:9" x14ac:dyDescent="0.2">
      <c r="B69" s="530">
        <f t="shared" si="7"/>
        <v>52</v>
      </c>
      <c r="C69" s="546">
        <f t="shared" ca="1" si="3"/>
        <v>0</v>
      </c>
      <c r="D69" s="546">
        <f t="shared" ca="1" si="4"/>
        <v>0</v>
      </c>
      <c r="E69" s="546">
        <f ca="1">IF(B69="","-",SUM($D$18:D69))</f>
        <v>0</v>
      </c>
      <c r="F69" s="546">
        <f t="shared" ca="1" si="5"/>
        <v>0</v>
      </c>
      <c r="G69" s="546">
        <f ca="1">IF(B69="","-",SUM($F$18:F69))</f>
        <v>0</v>
      </c>
      <c r="H69" s="546">
        <f t="shared" ca="1" si="6"/>
        <v>0</v>
      </c>
    </row>
    <row r="70" spans="2:9" x14ac:dyDescent="0.2">
      <c r="B70" s="530">
        <f t="shared" si="7"/>
        <v>53</v>
      </c>
      <c r="C70" s="546">
        <f t="shared" ca="1" si="3"/>
        <v>0</v>
      </c>
      <c r="D70" s="546">
        <f t="shared" ca="1" si="4"/>
        <v>0</v>
      </c>
      <c r="E70" s="546">
        <f ca="1">IF(B70="","-",SUM($D$18:D70))</f>
        <v>0</v>
      </c>
      <c r="F70" s="546">
        <f t="shared" ca="1" si="5"/>
        <v>0</v>
      </c>
      <c r="G70" s="546">
        <f ca="1">IF(B70="","-",SUM($F$18:F70))</f>
        <v>0</v>
      </c>
      <c r="H70" s="546">
        <f t="shared" ca="1" si="6"/>
        <v>0</v>
      </c>
    </row>
    <row r="71" spans="2:9" x14ac:dyDescent="0.2">
      <c r="B71" s="530">
        <f t="shared" si="7"/>
        <v>54</v>
      </c>
      <c r="C71" s="546">
        <f t="shared" ca="1" si="3"/>
        <v>0</v>
      </c>
      <c r="D71" s="546">
        <f t="shared" ca="1" si="4"/>
        <v>0</v>
      </c>
      <c r="E71" s="546">
        <f ca="1">IF(B71="","-",SUM($D$18:D71))</f>
        <v>0</v>
      </c>
      <c r="F71" s="546">
        <f t="shared" ca="1" si="5"/>
        <v>0</v>
      </c>
      <c r="G71" s="546">
        <f ca="1">IF(B71="","-",SUM($F$18:F71))</f>
        <v>0</v>
      </c>
      <c r="H71" s="546">
        <f t="shared" ca="1" si="6"/>
        <v>0</v>
      </c>
    </row>
    <row r="72" spans="2:9" x14ac:dyDescent="0.2">
      <c r="B72" s="530">
        <f t="shared" si="7"/>
        <v>55</v>
      </c>
      <c r="C72" s="546">
        <f t="shared" ca="1" si="3"/>
        <v>0</v>
      </c>
      <c r="D72" s="546">
        <f t="shared" ca="1" si="4"/>
        <v>0</v>
      </c>
      <c r="E72" s="546">
        <f ca="1">IF(B72="","-",SUM($D$18:D72))</f>
        <v>0</v>
      </c>
      <c r="F72" s="546">
        <f t="shared" ca="1" si="5"/>
        <v>0</v>
      </c>
      <c r="G72" s="546">
        <f ca="1">IF(B72="","-",SUM($F$18:F72))</f>
        <v>0</v>
      </c>
      <c r="H72" s="546">
        <f t="shared" ca="1" si="6"/>
        <v>0</v>
      </c>
    </row>
    <row r="73" spans="2:9" x14ac:dyDescent="0.2">
      <c r="B73" s="530">
        <f t="shared" si="7"/>
        <v>56</v>
      </c>
      <c r="C73" s="546">
        <f t="shared" ca="1" si="3"/>
        <v>0</v>
      </c>
      <c r="D73" s="546">
        <f t="shared" ca="1" si="4"/>
        <v>0</v>
      </c>
      <c r="E73" s="546">
        <f ca="1">IF(B73="","-",SUM($D$18:D73))</f>
        <v>0</v>
      </c>
      <c r="F73" s="546">
        <f t="shared" ca="1" si="5"/>
        <v>0</v>
      </c>
      <c r="G73" s="546">
        <f ca="1">IF(B73="","-",SUM($F$18:F73))</f>
        <v>0</v>
      </c>
      <c r="H73" s="546">
        <f t="shared" ca="1" si="6"/>
        <v>0</v>
      </c>
    </row>
    <row r="74" spans="2:9" x14ac:dyDescent="0.2">
      <c r="B74" s="530">
        <f t="shared" si="7"/>
        <v>57</v>
      </c>
      <c r="C74" s="546">
        <f t="shared" ca="1" si="3"/>
        <v>0</v>
      </c>
      <c r="D74" s="546">
        <f t="shared" ca="1" si="4"/>
        <v>0</v>
      </c>
      <c r="E74" s="546">
        <f ca="1">IF(B74="","-",SUM($D$18:D74))</f>
        <v>0</v>
      </c>
      <c r="F74" s="546">
        <f t="shared" ca="1" si="5"/>
        <v>0</v>
      </c>
      <c r="G74" s="546">
        <f ca="1">IF(B74="","-",SUM($F$18:F74))</f>
        <v>0</v>
      </c>
      <c r="H74" s="546">
        <f t="shared" ca="1" si="6"/>
        <v>0</v>
      </c>
    </row>
    <row r="75" spans="2:9" x14ac:dyDescent="0.2">
      <c r="B75" s="530">
        <f t="shared" si="7"/>
        <v>58</v>
      </c>
      <c r="C75" s="546">
        <f t="shared" ca="1" si="3"/>
        <v>0</v>
      </c>
      <c r="D75" s="546">
        <f t="shared" ca="1" si="4"/>
        <v>0</v>
      </c>
      <c r="E75" s="546">
        <f ca="1">IF(B75="","-",SUM($D$18:D75))</f>
        <v>0</v>
      </c>
      <c r="F75" s="546">
        <f t="shared" ca="1" si="5"/>
        <v>0</v>
      </c>
      <c r="G75" s="546">
        <f ca="1">IF(B75="","-",SUM($F$18:F75))</f>
        <v>0</v>
      </c>
      <c r="H75" s="546">
        <f t="shared" ca="1" si="6"/>
        <v>0</v>
      </c>
    </row>
    <row r="76" spans="2:9" x14ac:dyDescent="0.2">
      <c r="B76" s="530">
        <f t="shared" si="7"/>
        <v>59</v>
      </c>
      <c r="C76" s="546">
        <f t="shared" ca="1" si="3"/>
        <v>0</v>
      </c>
      <c r="D76" s="546">
        <f t="shared" ca="1" si="4"/>
        <v>0</v>
      </c>
      <c r="E76" s="546">
        <f ca="1">IF(B76="","-",SUM($D$18:D76))</f>
        <v>0</v>
      </c>
      <c r="F76" s="546">
        <f t="shared" ca="1" si="5"/>
        <v>0</v>
      </c>
      <c r="G76" s="546">
        <f ca="1">IF(B76="","-",SUM($F$18:F76))</f>
        <v>0</v>
      </c>
      <c r="H76" s="546">
        <f t="shared" ca="1" si="6"/>
        <v>0</v>
      </c>
    </row>
    <row r="77" spans="2:9" x14ac:dyDescent="0.2">
      <c r="B77" s="548">
        <f>IF(B76&gt;=$D$5*12,"",B76+1)</f>
        <v>60</v>
      </c>
      <c r="C77" s="549">
        <f t="shared" ca="1" si="3"/>
        <v>0</v>
      </c>
      <c r="D77" s="549">
        <f t="shared" ca="1" si="4"/>
        <v>0</v>
      </c>
      <c r="E77" s="549">
        <f ca="1">IF(B77="","-",SUM($D$18:D77))</f>
        <v>0</v>
      </c>
      <c r="F77" s="549">
        <f t="shared" ca="1" si="5"/>
        <v>0</v>
      </c>
      <c r="G77" s="549">
        <f ca="1">IF(B77="","-",SUM($F$18:F77))</f>
        <v>0</v>
      </c>
      <c r="H77" s="549">
        <f t="shared" ca="1" si="6"/>
        <v>0</v>
      </c>
      <c r="I77" s="547"/>
    </row>
    <row r="78" spans="2:9" x14ac:dyDescent="0.2">
      <c r="B78" s="530">
        <f t="shared" si="7"/>
        <v>61</v>
      </c>
      <c r="C78" s="546">
        <f t="shared" ca="1" si="3"/>
        <v>0</v>
      </c>
      <c r="D78" s="546">
        <f t="shared" ca="1" si="4"/>
        <v>0</v>
      </c>
      <c r="E78" s="546">
        <f ca="1">IF(B78="","-",SUM($D$18:D78))</f>
        <v>0</v>
      </c>
      <c r="F78" s="546">
        <f t="shared" ca="1" si="5"/>
        <v>0</v>
      </c>
      <c r="G78" s="546">
        <f ca="1">IF(B78="","-",SUM($F$18:F78))</f>
        <v>0</v>
      </c>
      <c r="H78" s="546">
        <f t="shared" ca="1" si="6"/>
        <v>0</v>
      </c>
    </row>
    <row r="79" spans="2:9" x14ac:dyDescent="0.2">
      <c r="B79" s="530">
        <f t="shared" si="7"/>
        <v>62</v>
      </c>
      <c r="C79" s="546">
        <f t="shared" ca="1" si="3"/>
        <v>0</v>
      </c>
      <c r="D79" s="546">
        <f t="shared" ca="1" si="4"/>
        <v>0</v>
      </c>
      <c r="E79" s="546">
        <f ca="1">IF(B79="","-",SUM($D$18:D79))</f>
        <v>0</v>
      </c>
      <c r="F79" s="546">
        <f t="shared" ca="1" si="5"/>
        <v>0</v>
      </c>
      <c r="G79" s="546">
        <f ca="1">IF(B79="","-",SUM($F$18:F79))</f>
        <v>0</v>
      </c>
      <c r="H79" s="546">
        <f t="shared" ca="1" si="6"/>
        <v>0</v>
      </c>
    </row>
    <row r="80" spans="2:9" x14ac:dyDescent="0.2">
      <c r="B80" s="530">
        <f t="shared" si="7"/>
        <v>63</v>
      </c>
      <c r="C80" s="546">
        <f t="shared" ca="1" si="3"/>
        <v>0</v>
      </c>
      <c r="D80" s="546">
        <f t="shared" ca="1" si="4"/>
        <v>0</v>
      </c>
      <c r="E80" s="546">
        <f ca="1">IF(B80="","-",SUM($D$18:D80))</f>
        <v>0</v>
      </c>
      <c r="F80" s="546">
        <f t="shared" ca="1" si="5"/>
        <v>0</v>
      </c>
      <c r="G80" s="546">
        <f ca="1">IF(B80="","-",SUM($F$18:F80))</f>
        <v>0</v>
      </c>
      <c r="H80" s="546">
        <f t="shared" ca="1" si="6"/>
        <v>0</v>
      </c>
    </row>
    <row r="81" spans="2:9" x14ac:dyDescent="0.2">
      <c r="B81" s="530">
        <f t="shared" si="7"/>
        <v>64</v>
      </c>
      <c r="C81" s="546">
        <f t="shared" ca="1" si="3"/>
        <v>0</v>
      </c>
      <c r="D81" s="546">
        <f t="shared" ca="1" si="4"/>
        <v>0</v>
      </c>
      <c r="E81" s="546">
        <f ca="1">IF(B81="","-",SUM($D$18:D81))</f>
        <v>0</v>
      </c>
      <c r="F81" s="546">
        <f t="shared" ca="1" si="5"/>
        <v>0</v>
      </c>
      <c r="G81" s="546">
        <f ca="1">IF(B81="","-",SUM($F$18:F81))</f>
        <v>0</v>
      </c>
      <c r="H81" s="546">
        <f t="shared" ca="1" si="6"/>
        <v>0</v>
      </c>
    </row>
    <row r="82" spans="2:9" x14ac:dyDescent="0.2">
      <c r="B82" s="530">
        <f t="shared" si="7"/>
        <v>65</v>
      </c>
      <c r="C82" s="546">
        <f t="shared" ref="C82:C145" ca="1" si="8">IF(B82="","-",IF(B82&lt;=$D$6,D82,  $D$7))</f>
        <v>0</v>
      </c>
      <c r="D82" s="546">
        <f t="shared" ref="D82:D145" ca="1" si="9">IF(B82="","-",$D$4/12*H81)</f>
        <v>0</v>
      </c>
      <c r="E82" s="546">
        <f ca="1">IF(B82="","-",SUM($D$18:D82))</f>
        <v>0</v>
      </c>
      <c r="F82" s="546">
        <f t="shared" ref="F82:F145" ca="1" si="10">IF(B82="","-",C82-D82)</f>
        <v>0</v>
      </c>
      <c r="G82" s="546">
        <f ca="1">IF(B82="","-",SUM($F$18:F82))</f>
        <v>0</v>
      </c>
      <c r="H82" s="546">
        <f t="shared" ref="H82:H145" ca="1" si="11">IF(B82="","-",H81-F82)</f>
        <v>0</v>
      </c>
    </row>
    <row r="83" spans="2:9" x14ac:dyDescent="0.2">
      <c r="B83" s="530">
        <f t="shared" si="7"/>
        <v>66</v>
      </c>
      <c r="C83" s="546">
        <f t="shared" ca="1" si="8"/>
        <v>0</v>
      </c>
      <c r="D83" s="546">
        <f t="shared" ca="1" si="9"/>
        <v>0</v>
      </c>
      <c r="E83" s="546">
        <f ca="1">IF(B83="","-",SUM($D$18:D83))</f>
        <v>0</v>
      </c>
      <c r="F83" s="546">
        <f t="shared" ca="1" si="10"/>
        <v>0</v>
      </c>
      <c r="G83" s="546">
        <f ca="1">IF(B83="","-",SUM($F$18:F83))</f>
        <v>0</v>
      </c>
      <c r="H83" s="546">
        <f t="shared" ca="1" si="11"/>
        <v>0</v>
      </c>
    </row>
    <row r="84" spans="2:9" x14ac:dyDescent="0.2">
      <c r="B84" s="530">
        <f t="shared" si="7"/>
        <v>67</v>
      </c>
      <c r="C84" s="546">
        <f t="shared" ca="1" si="8"/>
        <v>0</v>
      </c>
      <c r="D84" s="546">
        <f t="shared" ca="1" si="9"/>
        <v>0</v>
      </c>
      <c r="E84" s="546">
        <f ca="1">IF(B84="","-",SUM($D$18:D84))</f>
        <v>0</v>
      </c>
      <c r="F84" s="546">
        <f t="shared" ca="1" si="10"/>
        <v>0</v>
      </c>
      <c r="G84" s="546">
        <f ca="1">IF(B84="","-",SUM($F$18:F84))</f>
        <v>0</v>
      </c>
      <c r="H84" s="546">
        <f t="shared" ca="1" si="11"/>
        <v>0</v>
      </c>
    </row>
    <row r="85" spans="2:9" x14ac:dyDescent="0.2">
      <c r="B85" s="530">
        <f t="shared" si="7"/>
        <v>68</v>
      </c>
      <c r="C85" s="546">
        <f t="shared" ca="1" si="8"/>
        <v>0</v>
      </c>
      <c r="D85" s="546">
        <f t="shared" ca="1" si="9"/>
        <v>0</v>
      </c>
      <c r="E85" s="546">
        <f ca="1">IF(B85="","-",SUM($D$18:D85))</f>
        <v>0</v>
      </c>
      <c r="F85" s="546">
        <f t="shared" ca="1" si="10"/>
        <v>0</v>
      </c>
      <c r="G85" s="546">
        <f ca="1">IF(B85="","-",SUM($F$18:F85))</f>
        <v>0</v>
      </c>
      <c r="H85" s="546">
        <f t="shared" ca="1" si="11"/>
        <v>0</v>
      </c>
    </row>
    <row r="86" spans="2:9" x14ac:dyDescent="0.2">
      <c r="B86" s="530">
        <f t="shared" si="7"/>
        <v>69</v>
      </c>
      <c r="C86" s="546">
        <f t="shared" ca="1" si="8"/>
        <v>0</v>
      </c>
      <c r="D86" s="546">
        <f t="shared" ca="1" si="9"/>
        <v>0</v>
      </c>
      <c r="E86" s="546">
        <f ca="1">IF(B86="","-",SUM($D$18:D86))</f>
        <v>0</v>
      </c>
      <c r="F86" s="546">
        <f t="shared" ca="1" si="10"/>
        <v>0</v>
      </c>
      <c r="G86" s="546">
        <f ca="1">IF(B86="","-",SUM($F$18:F86))</f>
        <v>0</v>
      </c>
      <c r="H86" s="546">
        <f t="shared" ca="1" si="11"/>
        <v>0</v>
      </c>
    </row>
    <row r="87" spans="2:9" x14ac:dyDescent="0.2">
      <c r="B87" s="530">
        <f t="shared" si="7"/>
        <v>70</v>
      </c>
      <c r="C87" s="546">
        <f t="shared" ca="1" si="8"/>
        <v>0</v>
      </c>
      <c r="D87" s="546">
        <f t="shared" ca="1" si="9"/>
        <v>0</v>
      </c>
      <c r="E87" s="546">
        <f ca="1">IF(B87="","-",SUM($D$18:D87))</f>
        <v>0</v>
      </c>
      <c r="F87" s="546">
        <f t="shared" ca="1" si="10"/>
        <v>0</v>
      </c>
      <c r="G87" s="546">
        <f ca="1">IF(B87="","-",SUM($F$18:F87))</f>
        <v>0</v>
      </c>
      <c r="H87" s="546">
        <f t="shared" ca="1" si="11"/>
        <v>0</v>
      </c>
    </row>
    <row r="88" spans="2:9" x14ac:dyDescent="0.2">
      <c r="B88" s="530">
        <f t="shared" si="7"/>
        <v>71</v>
      </c>
      <c r="C88" s="546">
        <f t="shared" ca="1" si="8"/>
        <v>0</v>
      </c>
      <c r="D88" s="546">
        <f t="shared" ca="1" si="9"/>
        <v>0</v>
      </c>
      <c r="E88" s="546">
        <f ca="1">IF(B88="","-",SUM($D$18:D88))</f>
        <v>0</v>
      </c>
      <c r="F88" s="546">
        <f t="shared" ca="1" si="10"/>
        <v>0</v>
      </c>
      <c r="G88" s="546">
        <f ca="1">IF(B88="","-",SUM($F$18:F88))</f>
        <v>0</v>
      </c>
      <c r="H88" s="546">
        <f t="shared" ca="1" si="11"/>
        <v>0</v>
      </c>
    </row>
    <row r="89" spans="2:9" x14ac:dyDescent="0.2">
      <c r="B89" s="548">
        <f t="shared" si="7"/>
        <v>72</v>
      </c>
      <c r="C89" s="549">
        <f t="shared" ca="1" si="8"/>
        <v>0</v>
      </c>
      <c r="D89" s="549">
        <f t="shared" ca="1" si="9"/>
        <v>0</v>
      </c>
      <c r="E89" s="549">
        <f ca="1">IF(B89="","-",SUM($D$18:D89))</f>
        <v>0</v>
      </c>
      <c r="F89" s="549">
        <f t="shared" ca="1" si="10"/>
        <v>0</v>
      </c>
      <c r="G89" s="549">
        <f ca="1">IF(B89="","-",SUM($F$18:F89))</f>
        <v>0</v>
      </c>
      <c r="H89" s="549">
        <f t="shared" ca="1" si="11"/>
        <v>0</v>
      </c>
      <c r="I89" s="547"/>
    </row>
    <row r="90" spans="2:9" x14ac:dyDescent="0.2">
      <c r="B90" s="530">
        <f t="shared" si="7"/>
        <v>73</v>
      </c>
      <c r="C90" s="546">
        <f t="shared" ca="1" si="8"/>
        <v>0</v>
      </c>
      <c r="D90" s="546">
        <f t="shared" ca="1" si="9"/>
        <v>0</v>
      </c>
      <c r="E90" s="546">
        <f ca="1">IF(B90="","-",SUM($D$18:D90))</f>
        <v>0</v>
      </c>
      <c r="F90" s="546">
        <f t="shared" ca="1" si="10"/>
        <v>0</v>
      </c>
      <c r="G90" s="546">
        <f ca="1">IF(B90="","-",SUM($F$18:F90))</f>
        <v>0</v>
      </c>
      <c r="H90" s="546">
        <f t="shared" ca="1" si="11"/>
        <v>0</v>
      </c>
    </row>
    <row r="91" spans="2:9" x14ac:dyDescent="0.2">
      <c r="B91" s="530">
        <f t="shared" si="7"/>
        <v>74</v>
      </c>
      <c r="C91" s="546">
        <f t="shared" ca="1" si="8"/>
        <v>0</v>
      </c>
      <c r="D91" s="546">
        <f t="shared" ca="1" si="9"/>
        <v>0</v>
      </c>
      <c r="E91" s="546">
        <f ca="1">IF(B91="","-",SUM($D$18:D91))</f>
        <v>0</v>
      </c>
      <c r="F91" s="546">
        <f t="shared" ca="1" si="10"/>
        <v>0</v>
      </c>
      <c r="G91" s="546">
        <f ca="1">IF(B91="","-",SUM($F$18:F91))</f>
        <v>0</v>
      </c>
      <c r="H91" s="546">
        <f t="shared" ca="1" si="11"/>
        <v>0</v>
      </c>
    </row>
    <row r="92" spans="2:9" x14ac:dyDescent="0.2">
      <c r="B92" s="530">
        <f t="shared" si="7"/>
        <v>75</v>
      </c>
      <c r="C92" s="546">
        <f t="shared" ca="1" si="8"/>
        <v>0</v>
      </c>
      <c r="D92" s="546">
        <f t="shared" ca="1" si="9"/>
        <v>0</v>
      </c>
      <c r="E92" s="546">
        <f ca="1">IF(B92="","-",SUM($D$18:D92))</f>
        <v>0</v>
      </c>
      <c r="F92" s="546">
        <f t="shared" ca="1" si="10"/>
        <v>0</v>
      </c>
      <c r="G92" s="546">
        <f ca="1">IF(B92="","-",SUM($F$18:F92))</f>
        <v>0</v>
      </c>
      <c r="H92" s="546">
        <f t="shared" ca="1" si="11"/>
        <v>0</v>
      </c>
    </row>
    <row r="93" spans="2:9" x14ac:dyDescent="0.2">
      <c r="B93" s="530">
        <f t="shared" si="7"/>
        <v>76</v>
      </c>
      <c r="C93" s="546">
        <f t="shared" ca="1" si="8"/>
        <v>0</v>
      </c>
      <c r="D93" s="546">
        <f t="shared" ca="1" si="9"/>
        <v>0</v>
      </c>
      <c r="E93" s="546">
        <f ca="1">IF(B93="","-",SUM($D$18:D93))</f>
        <v>0</v>
      </c>
      <c r="F93" s="546">
        <f t="shared" ca="1" si="10"/>
        <v>0</v>
      </c>
      <c r="G93" s="546">
        <f ca="1">IF(B93="","-",SUM($F$18:F93))</f>
        <v>0</v>
      </c>
      <c r="H93" s="546">
        <f t="shared" ca="1" si="11"/>
        <v>0</v>
      </c>
    </row>
    <row r="94" spans="2:9" x14ac:dyDescent="0.2">
      <c r="B94" s="530">
        <f t="shared" ref="B94:B157" si="12">IF(B93&gt;=$D$5*12,"",B93+1)</f>
        <v>77</v>
      </c>
      <c r="C94" s="546">
        <f t="shared" ca="1" si="8"/>
        <v>0</v>
      </c>
      <c r="D94" s="546">
        <f t="shared" ca="1" si="9"/>
        <v>0</v>
      </c>
      <c r="E94" s="546">
        <f ca="1">IF(B94="","-",SUM($D$18:D94))</f>
        <v>0</v>
      </c>
      <c r="F94" s="546">
        <f t="shared" ca="1" si="10"/>
        <v>0</v>
      </c>
      <c r="G94" s="546">
        <f ca="1">IF(B94="","-",SUM($F$18:F94))</f>
        <v>0</v>
      </c>
      <c r="H94" s="546">
        <f t="shared" ca="1" si="11"/>
        <v>0</v>
      </c>
    </row>
    <row r="95" spans="2:9" x14ac:dyDescent="0.2">
      <c r="B95" s="530">
        <f t="shared" si="12"/>
        <v>78</v>
      </c>
      <c r="C95" s="546">
        <f t="shared" ca="1" si="8"/>
        <v>0</v>
      </c>
      <c r="D95" s="546">
        <f t="shared" ca="1" si="9"/>
        <v>0</v>
      </c>
      <c r="E95" s="546">
        <f ca="1">IF(B95="","-",SUM($D$18:D95))</f>
        <v>0</v>
      </c>
      <c r="F95" s="546">
        <f t="shared" ca="1" si="10"/>
        <v>0</v>
      </c>
      <c r="G95" s="546">
        <f ca="1">IF(B95="","-",SUM($F$18:F95))</f>
        <v>0</v>
      </c>
      <c r="H95" s="546">
        <f t="shared" ca="1" si="11"/>
        <v>0</v>
      </c>
    </row>
    <row r="96" spans="2:9" x14ac:dyDescent="0.2">
      <c r="B96" s="530">
        <f t="shared" si="12"/>
        <v>79</v>
      </c>
      <c r="C96" s="546">
        <f t="shared" ca="1" si="8"/>
        <v>0</v>
      </c>
      <c r="D96" s="546">
        <f t="shared" ca="1" si="9"/>
        <v>0</v>
      </c>
      <c r="E96" s="546">
        <f ca="1">IF(B96="","-",SUM($D$18:D96))</f>
        <v>0</v>
      </c>
      <c r="F96" s="546">
        <f t="shared" ca="1" si="10"/>
        <v>0</v>
      </c>
      <c r="G96" s="546">
        <f ca="1">IF(B96="","-",SUM($F$18:F96))</f>
        <v>0</v>
      </c>
      <c r="H96" s="546">
        <f t="shared" ca="1" si="11"/>
        <v>0</v>
      </c>
    </row>
    <row r="97" spans="2:9" x14ac:dyDescent="0.2">
      <c r="B97" s="530">
        <f t="shared" si="12"/>
        <v>80</v>
      </c>
      <c r="C97" s="546">
        <f t="shared" ca="1" si="8"/>
        <v>0</v>
      </c>
      <c r="D97" s="546">
        <f t="shared" ca="1" si="9"/>
        <v>0</v>
      </c>
      <c r="E97" s="546">
        <f ca="1">IF(B97="","-",SUM($D$18:D97))</f>
        <v>0</v>
      </c>
      <c r="F97" s="546">
        <f t="shared" ca="1" si="10"/>
        <v>0</v>
      </c>
      <c r="G97" s="546">
        <f ca="1">IF(B97="","-",SUM($F$18:F97))</f>
        <v>0</v>
      </c>
      <c r="H97" s="546">
        <f t="shared" ca="1" si="11"/>
        <v>0</v>
      </c>
    </row>
    <row r="98" spans="2:9" x14ac:dyDescent="0.2">
      <c r="B98" s="530">
        <f t="shared" si="12"/>
        <v>81</v>
      </c>
      <c r="C98" s="546">
        <f t="shared" ca="1" si="8"/>
        <v>0</v>
      </c>
      <c r="D98" s="546">
        <f t="shared" ca="1" si="9"/>
        <v>0</v>
      </c>
      <c r="E98" s="546">
        <f ca="1">IF(B98="","-",SUM($D$18:D98))</f>
        <v>0</v>
      </c>
      <c r="F98" s="546">
        <f t="shared" ca="1" si="10"/>
        <v>0</v>
      </c>
      <c r="G98" s="546">
        <f ca="1">IF(B98="","-",SUM($F$18:F98))</f>
        <v>0</v>
      </c>
      <c r="H98" s="546">
        <f t="shared" ca="1" si="11"/>
        <v>0</v>
      </c>
    </row>
    <row r="99" spans="2:9" x14ac:dyDescent="0.2">
      <c r="B99" s="530">
        <f t="shared" si="12"/>
        <v>82</v>
      </c>
      <c r="C99" s="546">
        <f t="shared" ca="1" si="8"/>
        <v>0</v>
      </c>
      <c r="D99" s="546">
        <f t="shared" ca="1" si="9"/>
        <v>0</v>
      </c>
      <c r="E99" s="546">
        <f ca="1">IF(B99="","-",SUM($D$18:D99))</f>
        <v>0</v>
      </c>
      <c r="F99" s="546">
        <f t="shared" ca="1" si="10"/>
        <v>0</v>
      </c>
      <c r="G99" s="546">
        <f ca="1">IF(B99="","-",SUM($F$18:F99))</f>
        <v>0</v>
      </c>
      <c r="H99" s="546">
        <f t="shared" ca="1" si="11"/>
        <v>0</v>
      </c>
    </row>
    <row r="100" spans="2:9" x14ac:dyDescent="0.2">
      <c r="B100" s="530">
        <f t="shared" si="12"/>
        <v>83</v>
      </c>
      <c r="C100" s="546">
        <f t="shared" ca="1" si="8"/>
        <v>0</v>
      </c>
      <c r="D100" s="546">
        <f t="shared" ca="1" si="9"/>
        <v>0</v>
      </c>
      <c r="E100" s="546">
        <f ca="1">IF(B100="","-",SUM($D$18:D100))</f>
        <v>0</v>
      </c>
      <c r="F100" s="546">
        <f t="shared" ca="1" si="10"/>
        <v>0</v>
      </c>
      <c r="G100" s="546">
        <f ca="1">IF(B100="","-",SUM($F$18:F100))</f>
        <v>0</v>
      </c>
      <c r="H100" s="546">
        <f t="shared" ca="1" si="11"/>
        <v>0</v>
      </c>
    </row>
    <row r="101" spans="2:9" x14ac:dyDescent="0.2">
      <c r="B101" s="548">
        <f t="shared" si="12"/>
        <v>84</v>
      </c>
      <c r="C101" s="549">
        <f t="shared" ca="1" si="8"/>
        <v>0</v>
      </c>
      <c r="D101" s="549">
        <f t="shared" ca="1" si="9"/>
        <v>0</v>
      </c>
      <c r="E101" s="549">
        <f ca="1">IF(B101="","-",SUM($D$18:D101))</f>
        <v>0</v>
      </c>
      <c r="F101" s="549">
        <f t="shared" ca="1" si="10"/>
        <v>0</v>
      </c>
      <c r="G101" s="549">
        <f ca="1">IF(B101="","-",SUM($F$18:F101))</f>
        <v>0</v>
      </c>
      <c r="H101" s="549">
        <f t="shared" ca="1" si="11"/>
        <v>0</v>
      </c>
      <c r="I101" s="547"/>
    </row>
    <row r="102" spans="2:9" x14ac:dyDescent="0.2">
      <c r="B102" s="530">
        <f t="shared" si="12"/>
        <v>85</v>
      </c>
      <c r="C102" s="546">
        <f t="shared" ca="1" si="8"/>
        <v>0</v>
      </c>
      <c r="D102" s="546">
        <f t="shared" ca="1" si="9"/>
        <v>0</v>
      </c>
      <c r="E102" s="546">
        <f ca="1">IF(B102="","-",SUM($D$18:D102))</f>
        <v>0</v>
      </c>
      <c r="F102" s="546">
        <f t="shared" ca="1" si="10"/>
        <v>0</v>
      </c>
      <c r="G102" s="546">
        <f ca="1">IF(B102="","-",SUM($F$18:F102))</f>
        <v>0</v>
      </c>
      <c r="H102" s="546">
        <f t="shared" ca="1" si="11"/>
        <v>0</v>
      </c>
    </row>
    <row r="103" spans="2:9" x14ac:dyDescent="0.2">
      <c r="B103" s="530">
        <f t="shared" si="12"/>
        <v>86</v>
      </c>
      <c r="C103" s="546">
        <f t="shared" ca="1" si="8"/>
        <v>0</v>
      </c>
      <c r="D103" s="546">
        <f t="shared" ca="1" si="9"/>
        <v>0</v>
      </c>
      <c r="E103" s="546">
        <f ca="1">IF(B103="","-",SUM($D$18:D103))</f>
        <v>0</v>
      </c>
      <c r="F103" s="546">
        <f t="shared" ca="1" si="10"/>
        <v>0</v>
      </c>
      <c r="G103" s="546">
        <f ca="1">IF(B103="","-",SUM($F$18:F103))</f>
        <v>0</v>
      </c>
      <c r="H103" s="546">
        <f t="shared" ca="1" si="11"/>
        <v>0</v>
      </c>
    </row>
    <row r="104" spans="2:9" x14ac:dyDescent="0.2">
      <c r="B104" s="530">
        <f t="shared" si="12"/>
        <v>87</v>
      </c>
      <c r="C104" s="546">
        <f t="shared" ca="1" si="8"/>
        <v>0</v>
      </c>
      <c r="D104" s="546">
        <f t="shared" ca="1" si="9"/>
        <v>0</v>
      </c>
      <c r="E104" s="546">
        <f ca="1">IF(B104="","-",SUM($D$18:D104))</f>
        <v>0</v>
      </c>
      <c r="F104" s="546">
        <f t="shared" ca="1" si="10"/>
        <v>0</v>
      </c>
      <c r="G104" s="546">
        <f ca="1">IF(B104="","-",SUM($F$18:F104))</f>
        <v>0</v>
      </c>
      <c r="H104" s="546">
        <f t="shared" ca="1" si="11"/>
        <v>0</v>
      </c>
    </row>
    <row r="105" spans="2:9" x14ac:dyDescent="0.2">
      <c r="B105" s="530">
        <f t="shared" si="12"/>
        <v>88</v>
      </c>
      <c r="C105" s="546">
        <f t="shared" ca="1" si="8"/>
        <v>0</v>
      </c>
      <c r="D105" s="546">
        <f t="shared" ca="1" si="9"/>
        <v>0</v>
      </c>
      <c r="E105" s="546">
        <f ca="1">IF(B105="","-",SUM($D$18:D105))</f>
        <v>0</v>
      </c>
      <c r="F105" s="546">
        <f t="shared" ca="1" si="10"/>
        <v>0</v>
      </c>
      <c r="G105" s="546">
        <f ca="1">IF(B105="","-",SUM($F$18:F105))</f>
        <v>0</v>
      </c>
      <c r="H105" s="546">
        <f t="shared" ca="1" si="11"/>
        <v>0</v>
      </c>
    </row>
    <row r="106" spans="2:9" x14ac:dyDescent="0.2">
      <c r="B106" s="530">
        <f t="shared" si="12"/>
        <v>89</v>
      </c>
      <c r="C106" s="546">
        <f t="shared" ca="1" si="8"/>
        <v>0</v>
      </c>
      <c r="D106" s="546">
        <f t="shared" ca="1" si="9"/>
        <v>0</v>
      </c>
      <c r="E106" s="546">
        <f ca="1">IF(B106="","-",SUM($D$18:D106))</f>
        <v>0</v>
      </c>
      <c r="F106" s="546">
        <f t="shared" ca="1" si="10"/>
        <v>0</v>
      </c>
      <c r="G106" s="546">
        <f ca="1">IF(B106="","-",SUM($F$18:F106))</f>
        <v>0</v>
      </c>
      <c r="H106" s="546">
        <f t="shared" ca="1" si="11"/>
        <v>0</v>
      </c>
    </row>
    <row r="107" spans="2:9" x14ac:dyDescent="0.2">
      <c r="B107" s="530">
        <f t="shared" si="12"/>
        <v>90</v>
      </c>
      <c r="C107" s="546">
        <f t="shared" ca="1" si="8"/>
        <v>0</v>
      </c>
      <c r="D107" s="546">
        <f t="shared" ca="1" si="9"/>
        <v>0</v>
      </c>
      <c r="E107" s="546">
        <f ca="1">IF(B107="","-",SUM($D$18:D107))</f>
        <v>0</v>
      </c>
      <c r="F107" s="546">
        <f t="shared" ca="1" si="10"/>
        <v>0</v>
      </c>
      <c r="G107" s="546">
        <f ca="1">IF(B107="","-",SUM($F$18:F107))</f>
        <v>0</v>
      </c>
      <c r="H107" s="546">
        <f t="shared" ca="1" si="11"/>
        <v>0</v>
      </c>
    </row>
    <row r="108" spans="2:9" x14ac:dyDescent="0.2">
      <c r="B108" s="530">
        <f t="shared" si="12"/>
        <v>91</v>
      </c>
      <c r="C108" s="546">
        <f t="shared" ca="1" si="8"/>
        <v>0</v>
      </c>
      <c r="D108" s="546">
        <f t="shared" ca="1" si="9"/>
        <v>0</v>
      </c>
      <c r="E108" s="546">
        <f ca="1">IF(B108="","-",SUM($D$18:D108))</f>
        <v>0</v>
      </c>
      <c r="F108" s="546">
        <f t="shared" ca="1" si="10"/>
        <v>0</v>
      </c>
      <c r="G108" s="546">
        <f ca="1">IF(B108="","-",SUM($F$18:F108))</f>
        <v>0</v>
      </c>
      <c r="H108" s="546">
        <f t="shared" ca="1" si="11"/>
        <v>0</v>
      </c>
    </row>
    <row r="109" spans="2:9" x14ac:dyDescent="0.2">
      <c r="B109" s="530">
        <f t="shared" si="12"/>
        <v>92</v>
      </c>
      <c r="C109" s="546">
        <f t="shared" ca="1" si="8"/>
        <v>0</v>
      </c>
      <c r="D109" s="546">
        <f t="shared" ca="1" si="9"/>
        <v>0</v>
      </c>
      <c r="E109" s="546">
        <f ca="1">IF(B109="","-",SUM($D$18:D109))</f>
        <v>0</v>
      </c>
      <c r="F109" s="546">
        <f t="shared" ca="1" si="10"/>
        <v>0</v>
      </c>
      <c r="G109" s="546">
        <f ca="1">IF(B109="","-",SUM($F$18:F109))</f>
        <v>0</v>
      </c>
      <c r="H109" s="546">
        <f t="shared" ca="1" si="11"/>
        <v>0</v>
      </c>
    </row>
    <row r="110" spans="2:9" x14ac:dyDescent="0.2">
      <c r="B110" s="530">
        <f t="shared" si="12"/>
        <v>93</v>
      </c>
      <c r="C110" s="546">
        <f t="shared" ca="1" si="8"/>
        <v>0</v>
      </c>
      <c r="D110" s="546">
        <f t="shared" ca="1" si="9"/>
        <v>0</v>
      </c>
      <c r="E110" s="546">
        <f ca="1">IF(B110="","-",SUM($D$18:D110))</f>
        <v>0</v>
      </c>
      <c r="F110" s="546">
        <f t="shared" ca="1" si="10"/>
        <v>0</v>
      </c>
      <c r="G110" s="546">
        <f ca="1">IF(B110="","-",SUM($F$18:F110))</f>
        <v>0</v>
      </c>
      <c r="H110" s="546">
        <f t="shared" ca="1" si="11"/>
        <v>0</v>
      </c>
    </row>
    <row r="111" spans="2:9" x14ac:dyDescent="0.2">
      <c r="B111" s="530">
        <f t="shared" si="12"/>
        <v>94</v>
      </c>
      <c r="C111" s="546">
        <f t="shared" ca="1" si="8"/>
        <v>0</v>
      </c>
      <c r="D111" s="546">
        <f t="shared" ca="1" si="9"/>
        <v>0</v>
      </c>
      <c r="E111" s="546">
        <f ca="1">IF(B111="","-",SUM($D$18:D111))</f>
        <v>0</v>
      </c>
      <c r="F111" s="546">
        <f t="shared" ca="1" si="10"/>
        <v>0</v>
      </c>
      <c r="G111" s="546">
        <f ca="1">IF(B111="","-",SUM($F$18:F111))</f>
        <v>0</v>
      </c>
      <c r="H111" s="546">
        <f t="shared" ca="1" si="11"/>
        <v>0</v>
      </c>
    </row>
    <row r="112" spans="2:9" x14ac:dyDescent="0.2">
      <c r="B112" s="530">
        <f t="shared" si="12"/>
        <v>95</v>
      </c>
      <c r="C112" s="546">
        <f t="shared" ca="1" si="8"/>
        <v>0</v>
      </c>
      <c r="D112" s="546">
        <f t="shared" ca="1" si="9"/>
        <v>0</v>
      </c>
      <c r="E112" s="546">
        <f ca="1">IF(B112="","-",SUM($D$18:D112))</f>
        <v>0</v>
      </c>
      <c r="F112" s="546">
        <f t="shared" ca="1" si="10"/>
        <v>0</v>
      </c>
      <c r="G112" s="546">
        <f ca="1">IF(B112="","-",SUM($F$18:F112))</f>
        <v>0</v>
      </c>
      <c r="H112" s="546">
        <f t="shared" ca="1" si="11"/>
        <v>0</v>
      </c>
    </row>
    <row r="113" spans="2:9" x14ac:dyDescent="0.2">
      <c r="B113" s="548">
        <f t="shared" si="12"/>
        <v>96</v>
      </c>
      <c r="C113" s="549">
        <f t="shared" ca="1" si="8"/>
        <v>0</v>
      </c>
      <c r="D113" s="549">
        <f t="shared" ca="1" si="9"/>
        <v>0</v>
      </c>
      <c r="E113" s="551">
        <f ca="1">IF(B113="","-",SUM($D$18:D113))</f>
        <v>0</v>
      </c>
      <c r="F113" s="551">
        <f t="shared" ca="1" si="10"/>
        <v>0</v>
      </c>
      <c r="G113" s="551">
        <f ca="1">IF(B113="","-",SUM($F$18:F113))</f>
        <v>0</v>
      </c>
      <c r="H113" s="551">
        <f t="shared" ca="1" si="11"/>
        <v>0</v>
      </c>
      <c r="I113" s="547"/>
    </row>
    <row r="114" spans="2:9" x14ac:dyDescent="0.2">
      <c r="B114" s="530">
        <f t="shared" si="12"/>
        <v>97</v>
      </c>
      <c r="C114" s="546">
        <f t="shared" ca="1" si="8"/>
        <v>0</v>
      </c>
      <c r="D114" s="546">
        <f t="shared" ca="1" si="9"/>
        <v>0</v>
      </c>
      <c r="E114" s="546">
        <f ca="1">IF(B114="","-",SUM($D$18:D114))</f>
        <v>0</v>
      </c>
      <c r="F114" s="546">
        <f t="shared" ca="1" si="10"/>
        <v>0</v>
      </c>
      <c r="G114" s="546">
        <f ca="1">IF(B114="","-",SUM($F$18:F114))</f>
        <v>0</v>
      </c>
      <c r="H114" s="546">
        <f t="shared" ca="1" si="11"/>
        <v>0</v>
      </c>
      <c r="I114" s="552"/>
    </row>
    <row r="115" spans="2:9" x14ac:dyDescent="0.2">
      <c r="B115" s="530">
        <f t="shared" si="12"/>
        <v>98</v>
      </c>
      <c r="C115" s="546">
        <f t="shared" ca="1" si="8"/>
        <v>0</v>
      </c>
      <c r="D115" s="546">
        <f t="shared" ca="1" si="9"/>
        <v>0</v>
      </c>
      <c r="E115" s="546">
        <f ca="1">IF(B115="","-",SUM($D$18:D115))</f>
        <v>0</v>
      </c>
      <c r="F115" s="546">
        <f t="shared" ca="1" si="10"/>
        <v>0</v>
      </c>
      <c r="G115" s="546">
        <f ca="1">IF(B115="","-",SUM($F$18:F115))</f>
        <v>0</v>
      </c>
      <c r="H115" s="546">
        <f t="shared" ca="1" si="11"/>
        <v>0</v>
      </c>
    </row>
    <row r="116" spans="2:9" x14ac:dyDescent="0.2">
      <c r="B116" s="530">
        <f t="shared" si="12"/>
        <v>99</v>
      </c>
      <c r="C116" s="546">
        <f t="shared" ca="1" si="8"/>
        <v>0</v>
      </c>
      <c r="D116" s="546">
        <f t="shared" ca="1" si="9"/>
        <v>0</v>
      </c>
      <c r="E116" s="546">
        <f ca="1">IF(B116="","-",SUM($D$18:D116))</f>
        <v>0</v>
      </c>
      <c r="F116" s="546">
        <f t="shared" ca="1" si="10"/>
        <v>0</v>
      </c>
      <c r="G116" s="546">
        <f ca="1">IF(B116="","-",SUM($F$18:F116))</f>
        <v>0</v>
      </c>
      <c r="H116" s="546">
        <f t="shared" ca="1" si="11"/>
        <v>0</v>
      </c>
    </row>
    <row r="117" spans="2:9" x14ac:dyDescent="0.2">
      <c r="B117" s="530">
        <f t="shared" si="12"/>
        <v>100</v>
      </c>
      <c r="C117" s="546">
        <f t="shared" ca="1" si="8"/>
        <v>0</v>
      </c>
      <c r="D117" s="546">
        <f t="shared" ca="1" si="9"/>
        <v>0</v>
      </c>
      <c r="E117" s="546">
        <f ca="1">IF(B117="","-",SUM($D$18:D117))</f>
        <v>0</v>
      </c>
      <c r="F117" s="546">
        <f t="shared" ca="1" si="10"/>
        <v>0</v>
      </c>
      <c r="G117" s="546">
        <f ca="1">IF(B117="","-",SUM($F$18:F117))</f>
        <v>0</v>
      </c>
      <c r="H117" s="546">
        <f t="shared" ca="1" si="11"/>
        <v>0</v>
      </c>
    </row>
    <row r="118" spans="2:9" x14ac:dyDescent="0.2">
      <c r="B118" s="530">
        <f t="shared" si="12"/>
        <v>101</v>
      </c>
      <c r="C118" s="546">
        <f t="shared" ca="1" si="8"/>
        <v>0</v>
      </c>
      <c r="D118" s="546">
        <f t="shared" ca="1" si="9"/>
        <v>0</v>
      </c>
      <c r="E118" s="546">
        <f ca="1">IF(B118="","-",SUM($D$18:D118))</f>
        <v>0</v>
      </c>
      <c r="F118" s="546">
        <f t="shared" ca="1" si="10"/>
        <v>0</v>
      </c>
      <c r="G118" s="546">
        <f ca="1">IF(B118="","-",SUM($F$18:F118))</f>
        <v>0</v>
      </c>
      <c r="H118" s="546">
        <f t="shared" ca="1" si="11"/>
        <v>0</v>
      </c>
    </row>
    <row r="119" spans="2:9" x14ac:dyDescent="0.2">
      <c r="B119" s="530">
        <f t="shared" si="12"/>
        <v>102</v>
      </c>
      <c r="C119" s="546">
        <f t="shared" ca="1" si="8"/>
        <v>0</v>
      </c>
      <c r="D119" s="546">
        <f t="shared" ca="1" si="9"/>
        <v>0</v>
      </c>
      <c r="E119" s="546">
        <f ca="1">IF(B119="","-",SUM($D$18:D119))</f>
        <v>0</v>
      </c>
      <c r="F119" s="546">
        <f t="shared" ca="1" si="10"/>
        <v>0</v>
      </c>
      <c r="G119" s="546">
        <f ca="1">IF(B119="","-",SUM($F$18:F119))</f>
        <v>0</v>
      </c>
      <c r="H119" s="546">
        <f t="shared" ca="1" si="11"/>
        <v>0</v>
      </c>
    </row>
    <row r="120" spans="2:9" x14ac:dyDescent="0.2">
      <c r="B120" s="530">
        <f t="shared" si="12"/>
        <v>103</v>
      </c>
      <c r="C120" s="546">
        <f t="shared" ca="1" si="8"/>
        <v>0</v>
      </c>
      <c r="D120" s="546">
        <f t="shared" ca="1" si="9"/>
        <v>0</v>
      </c>
      <c r="E120" s="546">
        <f ca="1">IF(B120="","-",SUM($D$18:D120))</f>
        <v>0</v>
      </c>
      <c r="F120" s="546">
        <f t="shared" ca="1" si="10"/>
        <v>0</v>
      </c>
      <c r="G120" s="546">
        <f ca="1">IF(B120="","-",SUM($F$18:F120))</f>
        <v>0</v>
      </c>
      <c r="H120" s="546">
        <f t="shared" ca="1" si="11"/>
        <v>0</v>
      </c>
    </row>
    <row r="121" spans="2:9" x14ac:dyDescent="0.2">
      <c r="B121" s="530">
        <f t="shared" si="12"/>
        <v>104</v>
      </c>
      <c r="C121" s="546">
        <f t="shared" ca="1" si="8"/>
        <v>0</v>
      </c>
      <c r="D121" s="546">
        <f t="shared" ca="1" si="9"/>
        <v>0</v>
      </c>
      <c r="E121" s="546">
        <f ca="1">IF(B121="","-",SUM($D$18:D121))</f>
        <v>0</v>
      </c>
      <c r="F121" s="546">
        <f t="shared" ca="1" si="10"/>
        <v>0</v>
      </c>
      <c r="G121" s="546">
        <f ca="1">IF(B121="","-",SUM($F$18:F121))</f>
        <v>0</v>
      </c>
      <c r="H121" s="546">
        <f t="shared" ca="1" si="11"/>
        <v>0</v>
      </c>
    </row>
    <row r="122" spans="2:9" x14ac:dyDescent="0.2">
      <c r="B122" s="530">
        <f t="shared" si="12"/>
        <v>105</v>
      </c>
      <c r="C122" s="546">
        <f t="shared" ca="1" si="8"/>
        <v>0</v>
      </c>
      <c r="D122" s="546">
        <f t="shared" ca="1" si="9"/>
        <v>0</v>
      </c>
      <c r="E122" s="546">
        <f ca="1">IF(B122="","-",SUM($D$18:D122))</f>
        <v>0</v>
      </c>
      <c r="F122" s="546">
        <f t="shared" ca="1" si="10"/>
        <v>0</v>
      </c>
      <c r="G122" s="546">
        <f ca="1">IF(B122="","-",SUM($F$18:F122))</f>
        <v>0</v>
      </c>
      <c r="H122" s="546">
        <f t="shared" ca="1" si="11"/>
        <v>0</v>
      </c>
    </row>
    <row r="123" spans="2:9" x14ac:dyDescent="0.2">
      <c r="B123" s="530">
        <f t="shared" si="12"/>
        <v>106</v>
      </c>
      <c r="C123" s="546">
        <f t="shared" ca="1" si="8"/>
        <v>0</v>
      </c>
      <c r="D123" s="546">
        <f t="shared" ca="1" si="9"/>
        <v>0</v>
      </c>
      <c r="E123" s="546">
        <f ca="1">IF(B123="","-",SUM($D$18:D123))</f>
        <v>0</v>
      </c>
      <c r="F123" s="546">
        <f t="shared" ca="1" si="10"/>
        <v>0</v>
      </c>
      <c r="G123" s="546">
        <f ca="1">IF(B123="","-",SUM($F$18:F123))</f>
        <v>0</v>
      </c>
      <c r="H123" s="546">
        <f t="shared" ca="1" si="11"/>
        <v>0</v>
      </c>
    </row>
    <row r="124" spans="2:9" x14ac:dyDescent="0.2">
      <c r="B124" s="530">
        <f t="shared" si="12"/>
        <v>107</v>
      </c>
      <c r="C124" s="546">
        <f t="shared" ca="1" si="8"/>
        <v>0</v>
      </c>
      <c r="D124" s="546">
        <f t="shared" ca="1" si="9"/>
        <v>0</v>
      </c>
      <c r="E124" s="546">
        <f ca="1">IF(B124="","-",SUM($D$18:D124))</f>
        <v>0</v>
      </c>
      <c r="F124" s="546">
        <f t="shared" ca="1" si="10"/>
        <v>0</v>
      </c>
      <c r="G124" s="546">
        <f ca="1">IF(B124="","-",SUM($F$18:F124))</f>
        <v>0</v>
      </c>
      <c r="H124" s="546">
        <f t="shared" ca="1" si="11"/>
        <v>0</v>
      </c>
    </row>
    <row r="125" spans="2:9" x14ac:dyDescent="0.2">
      <c r="B125" s="548">
        <f t="shared" si="12"/>
        <v>108</v>
      </c>
      <c r="C125" s="549">
        <f t="shared" ca="1" si="8"/>
        <v>0</v>
      </c>
      <c r="D125" s="549">
        <f t="shared" ca="1" si="9"/>
        <v>0</v>
      </c>
      <c r="E125" s="551">
        <f ca="1">IF(B125="","-",SUM($D$18:D125))</f>
        <v>0</v>
      </c>
      <c r="F125" s="551">
        <f t="shared" ca="1" si="10"/>
        <v>0</v>
      </c>
      <c r="G125" s="551">
        <f ca="1">IF(B125="","-",SUM($F$18:F125))</f>
        <v>0</v>
      </c>
      <c r="H125" s="551">
        <f t="shared" ca="1" si="11"/>
        <v>0</v>
      </c>
      <c r="I125" s="547"/>
    </row>
    <row r="126" spans="2:9" x14ac:dyDescent="0.2">
      <c r="B126" s="530">
        <f t="shared" si="12"/>
        <v>109</v>
      </c>
      <c r="C126" s="546">
        <f t="shared" ca="1" si="8"/>
        <v>0</v>
      </c>
      <c r="D126" s="546">
        <f t="shared" ca="1" si="9"/>
        <v>0</v>
      </c>
      <c r="E126" s="546">
        <f ca="1">IF(B126="","-",SUM($D$18:D126))</f>
        <v>0</v>
      </c>
      <c r="F126" s="546">
        <f t="shared" ca="1" si="10"/>
        <v>0</v>
      </c>
      <c r="G126" s="546">
        <f ca="1">IF(B126="","-",SUM($F$18:F126))</f>
        <v>0</v>
      </c>
      <c r="H126" s="546">
        <f t="shared" ca="1" si="11"/>
        <v>0</v>
      </c>
    </row>
    <row r="127" spans="2:9" x14ac:dyDescent="0.2">
      <c r="B127" s="530">
        <f t="shared" si="12"/>
        <v>110</v>
      </c>
      <c r="C127" s="546">
        <f t="shared" ca="1" si="8"/>
        <v>0</v>
      </c>
      <c r="D127" s="546">
        <f t="shared" ca="1" si="9"/>
        <v>0</v>
      </c>
      <c r="E127" s="546">
        <f ca="1">IF(B127="","-",SUM($D$18:D127))</f>
        <v>0</v>
      </c>
      <c r="F127" s="546">
        <f t="shared" ca="1" si="10"/>
        <v>0</v>
      </c>
      <c r="G127" s="546">
        <f ca="1">IF(B127="","-",SUM($F$18:F127))</f>
        <v>0</v>
      </c>
      <c r="H127" s="546">
        <f t="shared" ca="1" si="11"/>
        <v>0</v>
      </c>
    </row>
    <row r="128" spans="2:9" x14ac:dyDescent="0.2">
      <c r="B128" s="530">
        <f t="shared" si="12"/>
        <v>111</v>
      </c>
      <c r="C128" s="546">
        <f t="shared" ca="1" si="8"/>
        <v>0</v>
      </c>
      <c r="D128" s="546">
        <f t="shared" ca="1" si="9"/>
        <v>0</v>
      </c>
      <c r="E128" s="546">
        <f ca="1">IF(B128="","-",SUM($D$18:D128))</f>
        <v>0</v>
      </c>
      <c r="F128" s="546">
        <f t="shared" ca="1" si="10"/>
        <v>0</v>
      </c>
      <c r="G128" s="546">
        <f ca="1">IF(B128="","-",SUM($F$18:F128))</f>
        <v>0</v>
      </c>
      <c r="H128" s="546">
        <f t="shared" ca="1" si="11"/>
        <v>0</v>
      </c>
    </row>
    <row r="129" spans="2:9" x14ac:dyDescent="0.2">
      <c r="B129" s="530">
        <f t="shared" si="12"/>
        <v>112</v>
      </c>
      <c r="C129" s="546">
        <f t="shared" ca="1" si="8"/>
        <v>0</v>
      </c>
      <c r="D129" s="546">
        <f t="shared" ca="1" si="9"/>
        <v>0</v>
      </c>
      <c r="E129" s="546">
        <f ca="1">IF(B129="","-",SUM($D$18:D129))</f>
        <v>0</v>
      </c>
      <c r="F129" s="546">
        <f t="shared" ca="1" si="10"/>
        <v>0</v>
      </c>
      <c r="G129" s="546">
        <f ca="1">IF(B129="","-",SUM($F$18:F129))</f>
        <v>0</v>
      </c>
      <c r="H129" s="546">
        <f t="shared" ca="1" si="11"/>
        <v>0</v>
      </c>
    </row>
    <row r="130" spans="2:9" x14ac:dyDescent="0.2">
      <c r="B130" s="530">
        <f t="shared" si="12"/>
        <v>113</v>
      </c>
      <c r="C130" s="546">
        <f t="shared" ca="1" si="8"/>
        <v>0</v>
      </c>
      <c r="D130" s="546">
        <f t="shared" ca="1" si="9"/>
        <v>0</v>
      </c>
      <c r="E130" s="546">
        <f ca="1">IF(B130="","-",SUM($D$18:D130))</f>
        <v>0</v>
      </c>
      <c r="F130" s="546">
        <f t="shared" ca="1" si="10"/>
        <v>0</v>
      </c>
      <c r="G130" s="546">
        <f ca="1">IF(B130="","-",SUM($F$18:F130))</f>
        <v>0</v>
      </c>
      <c r="H130" s="546">
        <f t="shared" ca="1" si="11"/>
        <v>0</v>
      </c>
    </row>
    <row r="131" spans="2:9" x14ac:dyDescent="0.2">
      <c r="B131" s="530">
        <f t="shared" si="12"/>
        <v>114</v>
      </c>
      <c r="C131" s="546">
        <f t="shared" ca="1" si="8"/>
        <v>0</v>
      </c>
      <c r="D131" s="546">
        <f t="shared" ca="1" si="9"/>
        <v>0</v>
      </c>
      <c r="E131" s="546">
        <f ca="1">IF(B131="","-",SUM($D$18:D131))</f>
        <v>0</v>
      </c>
      <c r="F131" s="546">
        <f t="shared" ca="1" si="10"/>
        <v>0</v>
      </c>
      <c r="G131" s="546">
        <f ca="1">IF(B131="","-",SUM($F$18:F131))</f>
        <v>0</v>
      </c>
      <c r="H131" s="546">
        <f t="shared" ca="1" si="11"/>
        <v>0</v>
      </c>
    </row>
    <row r="132" spans="2:9" x14ac:dyDescent="0.2">
      <c r="B132" s="530">
        <f t="shared" si="12"/>
        <v>115</v>
      </c>
      <c r="C132" s="546">
        <f t="shared" ca="1" si="8"/>
        <v>0</v>
      </c>
      <c r="D132" s="546">
        <f t="shared" ca="1" si="9"/>
        <v>0</v>
      </c>
      <c r="E132" s="546">
        <f ca="1">IF(B132="","-",SUM($D$18:D132))</f>
        <v>0</v>
      </c>
      <c r="F132" s="546">
        <f t="shared" ca="1" si="10"/>
        <v>0</v>
      </c>
      <c r="G132" s="546">
        <f ca="1">IF(B132="","-",SUM($F$18:F132))</f>
        <v>0</v>
      </c>
      <c r="H132" s="546">
        <f t="shared" ca="1" si="11"/>
        <v>0</v>
      </c>
    </row>
    <row r="133" spans="2:9" x14ac:dyDescent="0.2">
      <c r="B133" s="530">
        <f t="shared" si="12"/>
        <v>116</v>
      </c>
      <c r="C133" s="546">
        <f t="shared" ca="1" si="8"/>
        <v>0</v>
      </c>
      <c r="D133" s="546">
        <f t="shared" ca="1" si="9"/>
        <v>0</v>
      </c>
      <c r="E133" s="546">
        <f ca="1">IF(B133="","-",SUM($D$18:D133))</f>
        <v>0</v>
      </c>
      <c r="F133" s="546">
        <f t="shared" ca="1" si="10"/>
        <v>0</v>
      </c>
      <c r="G133" s="546">
        <f ca="1">IF(B133="","-",SUM($F$18:F133))</f>
        <v>0</v>
      </c>
      <c r="H133" s="546">
        <f t="shared" ca="1" si="11"/>
        <v>0</v>
      </c>
    </row>
    <row r="134" spans="2:9" x14ac:dyDescent="0.2">
      <c r="B134" s="530">
        <f t="shared" si="12"/>
        <v>117</v>
      </c>
      <c r="C134" s="546">
        <f t="shared" ca="1" si="8"/>
        <v>0</v>
      </c>
      <c r="D134" s="546">
        <f t="shared" ca="1" si="9"/>
        <v>0</v>
      </c>
      <c r="E134" s="546">
        <f ca="1">IF(B134="","-",SUM($D$18:D134))</f>
        <v>0</v>
      </c>
      <c r="F134" s="546">
        <f t="shared" ca="1" si="10"/>
        <v>0</v>
      </c>
      <c r="G134" s="546">
        <f ca="1">IF(B134="","-",SUM($F$18:F134))</f>
        <v>0</v>
      </c>
      <c r="H134" s="546">
        <f t="shared" ca="1" si="11"/>
        <v>0</v>
      </c>
    </row>
    <row r="135" spans="2:9" x14ac:dyDescent="0.2">
      <c r="B135" s="530">
        <f t="shared" si="12"/>
        <v>118</v>
      </c>
      <c r="C135" s="546">
        <f t="shared" ca="1" si="8"/>
        <v>0</v>
      </c>
      <c r="D135" s="546">
        <f t="shared" ca="1" si="9"/>
        <v>0</v>
      </c>
      <c r="E135" s="546">
        <f ca="1">IF(B135="","-",SUM($D$18:D135))</f>
        <v>0</v>
      </c>
      <c r="F135" s="546">
        <f t="shared" ca="1" si="10"/>
        <v>0</v>
      </c>
      <c r="G135" s="546">
        <f ca="1">IF(B135="","-",SUM($F$18:F135))</f>
        <v>0</v>
      </c>
      <c r="H135" s="546">
        <f t="shared" ca="1" si="11"/>
        <v>0</v>
      </c>
    </row>
    <row r="136" spans="2:9" x14ac:dyDescent="0.2">
      <c r="B136" s="530">
        <f t="shared" si="12"/>
        <v>119</v>
      </c>
      <c r="C136" s="546">
        <f t="shared" ca="1" si="8"/>
        <v>0</v>
      </c>
      <c r="D136" s="546">
        <f t="shared" ca="1" si="9"/>
        <v>0</v>
      </c>
      <c r="E136" s="546">
        <f ca="1">IF(B136="","-",SUM($D$18:D136))</f>
        <v>0</v>
      </c>
      <c r="F136" s="546">
        <f t="shared" ca="1" si="10"/>
        <v>0</v>
      </c>
      <c r="G136" s="546">
        <f ca="1">IF(B136="","-",SUM($F$18:F136))</f>
        <v>0</v>
      </c>
      <c r="H136" s="546">
        <f t="shared" ca="1" si="11"/>
        <v>0</v>
      </c>
    </row>
    <row r="137" spans="2:9" x14ac:dyDescent="0.2">
      <c r="B137" s="548">
        <f t="shared" si="12"/>
        <v>120</v>
      </c>
      <c r="C137" s="549">
        <f t="shared" ca="1" si="8"/>
        <v>0</v>
      </c>
      <c r="D137" s="549">
        <f t="shared" ca="1" si="9"/>
        <v>0</v>
      </c>
      <c r="E137" s="551">
        <f ca="1">IF(B137="","-",SUM($D$18:D137))</f>
        <v>0</v>
      </c>
      <c r="F137" s="551">
        <f t="shared" ca="1" si="10"/>
        <v>0</v>
      </c>
      <c r="G137" s="551">
        <f ca="1">IF(B137="","-",SUM($F$18:F137))</f>
        <v>0</v>
      </c>
      <c r="H137" s="551">
        <f t="shared" ca="1" si="11"/>
        <v>0</v>
      </c>
      <c r="I137" s="547"/>
    </row>
    <row r="138" spans="2:9" x14ac:dyDescent="0.2">
      <c r="B138" s="530">
        <f t="shared" si="12"/>
        <v>121</v>
      </c>
      <c r="C138" s="546">
        <f t="shared" ca="1" si="8"/>
        <v>0</v>
      </c>
      <c r="D138" s="546">
        <f t="shared" ca="1" si="9"/>
        <v>0</v>
      </c>
      <c r="E138" s="546">
        <f ca="1">IF(B138="","-",SUM($D$18:D138))</f>
        <v>0</v>
      </c>
      <c r="F138" s="546">
        <f t="shared" ca="1" si="10"/>
        <v>0</v>
      </c>
      <c r="G138" s="546">
        <f ca="1">IF(B138="","-",SUM($F$18:F138))</f>
        <v>0</v>
      </c>
      <c r="H138" s="546">
        <f t="shared" ca="1" si="11"/>
        <v>0</v>
      </c>
    </row>
    <row r="139" spans="2:9" x14ac:dyDescent="0.2">
      <c r="B139" s="530">
        <f t="shared" si="12"/>
        <v>122</v>
      </c>
      <c r="C139" s="546">
        <f t="shared" ca="1" si="8"/>
        <v>0</v>
      </c>
      <c r="D139" s="546">
        <f t="shared" ca="1" si="9"/>
        <v>0</v>
      </c>
      <c r="E139" s="546">
        <f ca="1">IF(B139="","-",SUM($D$18:D139))</f>
        <v>0</v>
      </c>
      <c r="F139" s="546">
        <f t="shared" ca="1" si="10"/>
        <v>0</v>
      </c>
      <c r="G139" s="546">
        <f ca="1">IF(B139="","-",SUM($F$18:F139))</f>
        <v>0</v>
      </c>
      <c r="H139" s="546">
        <f t="shared" ca="1" si="11"/>
        <v>0</v>
      </c>
    </row>
    <row r="140" spans="2:9" x14ac:dyDescent="0.2">
      <c r="B140" s="530">
        <f t="shared" si="12"/>
        <v>123</v>
      </c>
      <c r="C140" s="546">
        <f t="shared" ca="1" si="8"/>
        <v>0</v>
      </c>
      <c r="D140" s="546">
        <f t="shared" ca="1" si="9"/>
        <v>0</v>
      </c>
      <c r="E140" s="546">
        <f ca="1">IF(B140="","-",SUM($D$18:D140))</f>
        <v>0</v>
      </c>
      <c r="F140" s="546">
        <f t="shared" ca="1" si="10"/>
        <v>0</v>
      </c>
      <c r="G140" s="546">
        <f ca="1">IF(B140="","-",SUM($F$18:F140))</f>
        <v>0</v>
      </c>
      <c r="H140" s="546">
        <f t="shared" ca="1" si="11"/>
        <v>0</v>
      </c>
    </row>
    <row r="141" spans="2:9" x14ac:dyDescent="0.2">
      <c r="B141" s="530">
        <f t="shared" si="12"/>
        <v>124</v>
      </c>
      <c r="C141" s="546">
        <f t="shared" ca="1" si="8"/>
        <v>0</v>
      </c>
      <c r="D141" s="546">
        <f t="shared" ca="1" si="9"/>
        <v>0</v>
      </c>
      <c r="E141" s="546">
        <f ca="1">IF(B141="","-",SUM($D$18:D141))</f>
        <v>0</v>
      </c>
      <c r="F141" s="546">
        <f t="shared" ca="1" si="10"/>
        <v>0</v>
      </c>
      <c r="G141" s="546">
        <f ca="1">IF(B141="","-",SUM($F$18:F141))</f>
        <v>0</v>
      </c>
      <c r="H141" s="546">
        <f t="shared" ca="1" si="11"/>
        <v>0</v>
      </c>
    </row>
    <row r="142" spans="2:9" x14ac:dyDescent="0.2">
      <c r="B142" s="530">
        <f t="shared" si="12"/>
        <v>125</v>
      </c>
      <c r="C142" s="546">
        <f t="shared" ca="1" si="8"/>
        <v>0</v>
      </c>
      <c r="D142" s="546">
        <f t="shared" ca="1" si="9"/>
        <v>0</v>
      </c>
      <c r="E142" s="546">
        <f ca="1">IF(B142="","-",SUM($D$18:D142))</f>
        <v>0</v>
      </c>
      <c r="F142" s="546">
        <f t="shared" ca="1" si="10"/>
        <v>0</v>
      </c>
      <c r="G142" s="546">
        <f ca="1">IF(B142="","-",SUM($F$18:F142))</f>
        <v>0</v>
      </c>
      <c r="H142" s="546">
        <f t="shared" ca="1" si="11"/>
        <v>0</v>
      </c>
    </row>
    <row r="143" spans="2:9" x14ac:dyDescent="0.2">
      <c r="B143" s="530">
        <f t="shared" si="12"/>
        <v>126</v>
      </c>
      <c r="C143" s="546">
        <f t="shared" ca="1" si="8"/>
        <v>0</v>
      </c>
      <c r="D143" s="546">
        <f t="shared" ca="1" si="9"/>
        <v>0</v>
      </c>
      <c r="E143" s="546">
        <f ca="1">IF(B143="","-",SUM($D$18:D143))</f>
        <v>0</v>
      </c>
      <c r="F143" s="546">
        <f t="shared" ca="1" si="10"/>
        <v>0</v>
      </c>
      <c r="G143" s="546">
        <f ca="1">IF(B143="","-",SUM($F$18:F143))</f>
        <v>0</v>
      </c>
      <c r="H143" s="546">
        <f t="shared" ca="1" si="11"/>
        <v>0</v>
      </c>
    </row>
    <row r="144" spans="2:9" x14ac:dyDescent="0.2">
      <c r="B144" s="530">
        <f t="shared" si="12"/>
        <v>127</v>
      </c>
      <c r="C144" s="546">
        <f t="shared" ca="1" si="8"/>
        <v>0</v>
      </c>
      <c r="D144" s="546">
        <f t="shared" ca="1" si="9"/>
        <v>0</v>
      </c>
      <c r="E144" s="546">
        <f ca="1">IF(B144="","-",SUM($D$18:D144))</f>
        <v>0</v>
      </c>
      <c r="F144" s="546">
        <f t="shared" ca="1" si="10"/>
        <v>0</v>
      </c>
      <c r="G144" s="546">
        <f ca="1">IF(B144="","-",SUM($F$18:F144))</f>
        <v>0</v>
      </c>
      <c r="H144" s="546">
        <f t="shared" ca="1" si="11"/>
        <v>0</v>
      </c>
    </row>
    <row r="145" spans="2:8" x14ac:dyDescent="0.2">
      <c r="B145" s="530">
        <f t="shared" si="12"/>
        <v>128</v>
      </c>
      <c r="C145" s="546">
        <f t="shared" ca="1" si="8"/>
        <v>0</v>
      </c>
      <c r="D145" s="546">
        <f t="shared" ca="1" si="9"/>
        <v>0</v>
      </c>
      <c r="E145" s="546">
        <f ca="1">IF(B145="","-",SUM($D$18:D145))</f>
        <v>0</v>
      </c>
      <c r="F145" s="546">
        <f t="shared" ca="1" si="10"/>
        <v>0</v>
      </c>
      <c r="G145" s="546">
        <f ca="1">IF(B145="","-",SUM($F$18:F145))</f>
        <v>0</v>
      </c>
      <c r="H145" s="546">
        <f t="shared" ca="1" si="11"/>
        <v>0</v>
      </c>
    </row>
    <row r="146" spans="2:8" x14ac:dyDescent="0.2">
      <c r="B146" s="530">
        <f t="shared" si="12"/>
        <v>129</v>
      </c>
      <c r="C146" s="546">
        <f t="shared" ref="C146:C209" ca="1" si="13">IF(B146="","-",IF(B146&lt;=$D$6,D146,  $D$7))</f>
        <v>0</v>
      </c>
      <c r="D146" s="546">
        <f t="shared" ref="D146:D209" ca="1" si="14">IF(B146="","-",$D$4/12*H145)</f>
        <v>0</v>
      </c>
      <c r="E146" s="546">
        <f ca="1">IF(B146="","-",SUM($D$18:D146))</f>
        <v>0</v>
      </c>
      <c r="F146" s="546">
        <f t="shared" ref="F146:F209" ca="1" si="15">IF(B146="","-",C146-D146)</f>
        <v>0</v>
      </c>
      <c r="G146" s="546">
        <f ca="1">IF(B146="","-",SUM($F$18:F146))</f>
        <v>0</v>
      </c>
      <c r="H146" s="546">
        <f t="shared" ref="H146:H209" ca="1" si="16">IF(B146="","-",H145-F146)</f>
        <v>0</v>
      </c>
    </row>
    <row r="147" spans="2:8" x14ac:dyDescent="0.2">
      <c r="B147" s="530">
        <f t="shared" si="12"/>
        <v>130</v>
      </c>
      <c r="C147" s="546">
        <f t="shared" ca="1" si="13"/>
        <v>0</v>
      </c>
      <c r="D147" s="546">
        <f t="shared" ca="1" si="14"/>
        <v>0</v>
      </c>
      <c r="E147" s="546">
        <f ca="1">IF(B147="","-",SUM($D$18:D147))</f>
        <v>0</v>
      </c>
      <c r="F147" s="546">
        <f t="shared" ca="1" si="15"/>
        <v>0</v>
      </c>
      <c r="G147" s="546">
        <f ca="1">IF(B147="","-",SUM($F$18:F147))</f>
        <v>0</v>
      </c>
      <c r="H147" s="546">
        <f t="shared" ca="1" si="16"/>
        <v>0</v>
      </c>
    </row>
    <row r="148" spans="2:8" x14ac:dyDescent="0.2">
      <c r="B148" s="530">
        <f t="shared" si="12"/>
        <v>131</v>
      </c>
      <c r="C148" s="546">
        <f t="shared" ca="1" si="13"/>
        <v>0</v>
      </c>
      <c r="D148" s="546">
        <f t="shared" ca="1" si="14"/>
        <v>0</v>
      </c>
      <c r="E148" s="546">
        <f ca="1">IF(B148="","-",SUM($D$18:D148))</f>
        <v>0</v>
      </c>
      <c r="F148" s="546">
        <f t="shared" ca="1" si="15"/>
        <v>0</v>
      </c>
      <c r="G148" s="546">
        <f ca="1">IF(B148="","-",SUM($F$18:F148))</f>
        <v>0</v>
      </c>
      <c r="H148" s="546">
        <f t="shared" ca="1" si="16"/>
        <v>0</v>
      </c>
    </row>
    <row r="149" spans="2:8" x14ac:dyDescent="0.2">
      <c r="B149" s="530">
        <f t="shared" si="12"/>
        <v>132</v>
      </c>
      <c r="C149" s="549">
        <f t="shared" ca="1" si="13"/>
        <v>0</v>
      </c>
      <c r="D149" s="546">
        <f t="shared" ca="1" si="14"/>
        <v>0</v>
      </c>
      <c r="E149" s="546">
        <f ca="1">IF(B149="","-",SUM($D$18:D149))</f>
        <v>0</v>
      </c>
      <c r="F149" s="546">
        <f t="shared" ca="1" si="15"/>
        <v>0</v>
      </c>
      <c r="G149" s="546">
        <f ca="1">IF(B149="","-",SUM($F$18:F149))</f>
        <v>0</v>
      </c>
      <c r="H149" s="546">
        <f t="shared" ca="1" si="16"/>
        <v>0</v>
      </c>
    </row>
    <row r="150" spans="2:8" x14ac:dyDescent="0.2">
      <c r="B150" s="530">
        <f t="shared" si="12"/>
        <v>133</v>
      </c>
      <c r="C150" s="546">
        <f t="shared" ca="1" si="13"/>
        <v>0</v>
      </c>
      <c r="D150" s="546">
        <f t="shared" ca="1" si="14"/>
        <v>0</v>
      </c>
      <c r="E150" s="546">
        <f ca="1">IF(B150="","-",SUM($D$18:D150))</f>
        <v>0</v>
      </c>
      <c r="F150" s="546">
        <f t="shared" ca="1" si="15"/>
        <v>0</v>
      </c>
      <c r="G150" s="546">
        <f ca="1">IF(B150="","-",SUM($F$18:F150))</f>
        <v>0</v>
      </c>
      <c r="H150" s="546">
        <f t="shared" ca="1" si="16"/>
        <v>0</v>
      </c>
    </row>
    <row r="151" spans="2:8" x14ac:dyDescent="0.2">
      <c r="B151" s="530">
        <f t="shared" si="12"/>
        <v>134</v>
      </c>
      <c r="C151" s="546">
        <f t="shared" ca="1" si="13"/>
        <v>0</v>
      </c>
      <c r="D151" s="546">
        <f t="shared" ca="1" si="14"/>
        <v>0</v>
      </c>
      <c r="E151" s="546">
        <f ca="1">IF(B151="","-",SUM($D$18:D151))</f>
        <v>0</v>
      </c>
      <c r="F151" s="546">
        <f t="shared" ca="1" si="15"/>
        <v>0</v>
      </c>
      <c r="G151" s="546">
        <f ca="1">IF(B151="","-",SUM($F$18:F151))</f>
        <v>0</v>
      </c>
      <c r="H151" s="546">
        <f t="shared" ca="1" si="16"/>
        <v>0</v>
      </c>
    </row>
    <row r="152" spans="2:8" x14ac:dyDescent="0.2">
      <c r="B152" s="530">
        <f t="shared" si="12"/>
        <v>135</v>
      </c>
      <c r="C152" s="546">
        <f t="shared" ca="1" si="13"/>
        <v>0</v>
      </c>
      <c r="D152" s="546">
        <f t="shared" ca="1" si="14"/>
        <v>0</v>
      </c>
      <c r="E152" s="546">
        <f ca="1">IF(B152="","-",SUM($D$18:D152))</f>
        <v>0</v>
      </c>
      <c r="F152" s="546">
        <f t="shared" ca="1" si="15"/>
        <v>0</v>
      </c>
      <c r="G152" s="546">
        <f ca="1">IF(B152="","-",SUM($F$18:F152))</f>
        <v>0</v>
      </c>
      <c r="H152" s="546">
        <f t="shared" ca="1" si="16"/>
        <v>0</v>
      </c>
    </row>
    <row r="153" spans="2:8" x14ac:dyDescent="0.2">
      <c r="B153" s="530">
        <f t="shared" si="12"/>
        <v>136</v>
      </c>
      <c r="C153" s="546">
        <f t="shared" ca="1" si="13"/>
        <v>0</v>
      </c>
      <c r="D153" s="546">
        <f t="shared" ca="1" si="14"/>
        <v>0</v>
      </c>
      <c r="E153" s="546">
        <f ca="1">IF(B153="","-",SUM($D$18:D153))</f>
        <v>0</v>
      </c>
      <c r="F153" s="546">
        <f t="shared" ca="1" si="15"/>
        <v>0</v>
      </c>
      <c r="G153" s="546">
        <f ca="1">IF(B153="","-",SUM($F$18:F153))</f>
        <v>0</v>
      </c>
      <c r="H153" s="546">
        <f t="shared" ca="1" si="16"/>
        <v>0</v>
      </c>
    </row>
    <row r="154" spans="2:8" x14ac:dyDescent="0.2">
      <c r="B154" s="530">
        <f t="shared" si="12"/>
        <v>137</v>
      </c>
      <c r="C154" s="546">
        <f t="shared" ca="1" si="13"/>
        <v>0</v>
      </c>
      <c r="D154" s="546">
        <f t="shared" ca="1" si="14"/>
        <v>0</v>
      </c>
      <c r="E154" s="546">
        <f ca="1">IF(B154="","-",SUM($D$18:D154))</f>
        <v>0</v>
      </c>
      <c r="F154" s="546">
        <f t="shared" ca="1" si="15"/>
        <v>0</v>
      </c>
      <c r="G154" s="546">
        <f ca="1">IF(B154="","-",SUM($F$18:F154))</f>
        <v>0</v>
      </c>
      <c r="H154" s="546">
        <f t="shared" ca="1" si="16"/>
        <v>0</v>
      </c>
    </row>
    <row r="155" spans="2:8" x14ac:dyDescent="0.2">
      <c r="B155" s="530">
        <f t="shared" si="12"/>
        <v>138</v>
      </c>
      <c r="C155" s="546">
        <f t="shared" ca="1" si="13"/>
        <v>0</v>
      </c>
      <c r="D155" s="546">
        <f t="shared" ca="1" si="14"/>
        <v>0</v>
      </c>
      <c r="E155" s="546">
        <f ca="1">IF(B155="","-",SUM($D$18:D155))</f>
        <v>0</v>
      </c>
      <c r="F155" s="546">
        <f t="shared" ca="1" si="15"/>
        <v>0</v>
      </c>
      <c r="G155" s="546">
        <f ca="1">IF(B155="","-",SUM($F$18:F155))</f>
        <v>0</v>
      </c>
      <c r="H155" s="546">
        <f t="shared" ca="1" si="16"/>
        <v>0</v>
      </c>
    </row>
    <row r="156" spans="2:8" x14ac:dyDescent="0.2">
      <c r="B156" s="530">
        <f t="shared" si="12"/>
        <v>139</v>
      </c>
      <c r="C156" s="546">
        <f t="shared" ca="1" si="13"/>
        <v>0</v>
      </c>
      <c r="D156" s="546">
        <f t="shared" ca="1" si="14"/>
        <v>0</v>
      </c>
      <c r="E156" s="546">
        <f ca="1">IF(B156="","-",SUM($D$18:D156))</f>
        <v>0</v>
      </c>
      <c r="F156" s="546">
        <f t="shared" ca="1" si="15"/>
        <v>0</v>
      </c>
      <c r="G156" s="546">
        <f ca="1">IF(B156="","-",SUM($F$18:F156))</f>
        <v>0</v>
      </c>
      <c r="H156" s="546">
        <f t="shared" ca="1" si="16"/>
        <v>0</v>
      </c>
    </row>
    <row r="157" spans="2:8" x14ac:dyDescent="0.2">
      <c r="B157" s="530">
        <f t="shared" si="12"/>
        <v>140</v>
      </c>
      <c r="C157" s="546">
        <f t="shared" ca="1" si="13"/>
        <v>0</v>
      </c>
      <c r="D157" s="546">
        <f t="shared" ca="1" si="14"/>
        <v>0</v>
      </c>
      <c r="E157" s="546">
        <f ca="1">IF(B157="","-",SUM($D$18:D157))</f>
        <v>0</v>
      </c>
      <c r="F157" s="546">
        <f t="shared" ca="1" si="15"/>
        <v>0</v>
      </c>
      <c r="G157" s="546">
        <f ca="1">IF(B157="","-",SUM($F$18:F157))</f>
        <v>0</v>
      </c>
      <c r="H157" s="546">
        <f t="shared" ca="1" si="16"/>
        <v>0</v>
      </c>
    </row>
    <row r="158" spans="2:8" x14ac:dyDescent="0.2">
      <c r="B158" s="530">
        <f t="shared" ref="B158:B221" si="17">IF(B157&gt;=$D$5*12,"",B157+1)</f>
        <v>141</v>
      </c>
      <c r="C158" s="546">
        <f t="shared" ca="1" si="13"/>
        <v>0</v>
      </c>
      <c r="D158" s="546">
        <f t="shared" ca="1" si="14"/>
        <v>0</v>
      </c>
      <c r="E158" s="546">
        <f ca="1">IF(B158="","-",SUM($D$18:D158))</f>
        <v>0</v>
      </c>
      <c r="F158" s="546">
        <f t="shared" ca="1" si="15"/>
        <v>0</v>
      </c>
      <c r="G158" s="546">
        <f ca="1">IF(B158="","-",SUM($F$18:F158))</f>
        <v>0</v>
      </c>
      <c r="H158" s="546">
        <f t="shared" ca="1" si="16"/>
        <v>0</v>
      </c>
    </row>
    <row r="159" spans="2:8" x14ac:dyDescent="0.2">
      <c r="B159" s="530">
        <f t="shared" si="17"/>
        <v>142</v>
      </c>
      <c r="C159" s="546">
        <f t="shared" ca="1" si="13"/>
        <v>0</v>
      </c>
      <c r="D159" s="546">
        <f t="shared" ca="1" si="14"/>
        <v>0</v>
      </c>
      <c r="E159" s="546">
        <f ca="1">IF(B159="","-",SUM($D$18:D159))</f>
        <v>0</v>
      </c>
      <c r="F159" s="546">
        <f t="shared" ca="1" si="15"/>
        <v>0</v>
      </c>
      <c r="G159" s="546">
        <f ca="1">IF(B159="","-",SUM($F$18:F159))</f>
        <v>0</v>
      </c>
      <c r="H159" s="546">
        <f t="shared" ca="1" si="16"/>
        <v>0</v>
      </c>
    </row>
    <row r="160" spans="2:8" x14ac:dyDescent="0.2">
      <c r="B160" s="530">
        <f t="shared" si="17"/>
        <v>143</v>
      </c>
      <c r="C160" s="546">
        <f t="shared" ca="1" si="13"/>
        <v>0</v>
      </c>
      <c r="D160" s="546">
        <f t="shared" ca="1" si="14"/>
        <v>0</v>
      </c>
      <c r="E160" s="546">
        <f ca="1">IF(B160="","-",SUM($D$18:D160))</f>
        <v>0</v>
      </c>
      <c r="F160" s="546">
        <f t="shared" ca="1" si="15"/>
        <v>0</v>
      </c>
      <c r="G160" s="546">
        <f ca="1">IF(B160="","-",SUM($F$18:F160))</f>
        <v>0</v>
      </c>
      <c r="H160" s="546">
        <f t="shared" ca="1" si="16"/>
        <v>0</v>
      </c>
    </row>
    <row r="161" spans="2:8" x14ac:dyDescent="0.2">
      <c r="B161" s="530">
        <f t="shared" si="17"/>
        <v>144</v>
      </c>
      <c r="C161" s="549">
        <f t="shared" ca="1" si="13"/>
        <v>0</v>
      </c>
      <c r="D161" s="546">
        <f t="shared" ca="1" si="14"/>
        <v>0</v>
      </c>
      <c r="E161" s="546">
        <f ca="1">IF(B161="","-",SUM($D$18:D161))</f>
        <v>0</v>
      </c>
      <c r="F161" s="546">
        <f t="shared" ca="1" si="15"/>
        <v>0</v>
      </c>
      <c r="G161" s="546">
        <f ca="1">IF(B161="","-",SUM($F$18:F161))</f>
        <v>0</v>
      </c>
      <c r="H161" s="546">
        <f t="shared" ca="1" si="16"/>
        <v>0</v>
      </c>
    </row>
    <row r="162" spans="2:8" x14ac:dyDescent="0.2">
      <c r="B162" s="530">
        <f t="shared" si="17"/>
        <v>145</v>
      </c>
      <c r="C162" s="546">
        <f t="shared" ca="1" si="13"/>
        <v>0</v>
      </c>
      <c r="D162" s="546">
        <f t="shared" ca="1" si="14"/>
        <v>0</v>
      </c>
      <c r="E162" s="546">
        <f ca="1">IF(B162="","-",SUM($D$18:D162))</f>
        <v>0</v>
      </c>
      <c r="F162" s="546">
        <f t="shared" ca="1" si="15"/>
        <v>0</v>
      </c>
      <c r="G162" s="546">
        <f ca="1">IF(B162="","-",SUM($F$18:F162))</f>
        <v>0</v>
      </c>
      <c r="H162" s="546">
        <f t="shared" ca="1" si="16"/>
        <v>0</v>
      </c>
    </row>
    <row r="163" spans="2:8" x14ac:dyDescent="0.2">
      <c r="B163" s="530">
        <f t="shared" si="17"/>
        <v>146</v>
      </c>
      <c r="C163" s="546">
        <f t="shared" ca="1" si="13"/>
        <v>0</v>
      </c>
      <c r="D163" s="546">
        <f t="shared" ca="1" si="14"/>
        <v>0</v>
      </c>
      <c r="E163" s="546">
        <f ca="1">IF(B163="","-",SUM($D$18:D163))</f>
        <v>0</v>
      </c>
      <c r="F163" s="546">
        <f t="shared" ca="1" si="15"/>
        <v>0</v>
      </c>
      <c r="G163" s="546">
        <f ca="1">IF(B163="","-",SUM($F$18:F163))</f>
        <v>0</v>
      </c>
      <c r="H163" s="546">
        <f t="shared" ca="1" si="16"/>
        <v>0</v>
      </c>
    </row>
    <row r="164" spans="2:8" x14ac:dyDescent="0.2">
      <c r="B164" s="530">
        <f t="shared" si="17"/>
        <v>147</v>
      </c>
      <c r="C164" s="546">
        <f t="shared" ca="1" si="13"/>
        <v>0</v>
      </c>
      <c r="D164" s="546">
        <f t="shared" ca="1" si="14"/>
        <v>0</v>
      </c>
      <c r="E164" s="546">
        <f ca="1">IF(B164="","-",SUM($D$18:D164))</f>
        <v>0</v>
      </c>
      <c r="F164" s="546">
        <f t="shared" ca="1" si="15"/>
        <v>0</v>
      </c>
      <c r="G164" s="546">
        <f ca="1">IF(B164="","-",SUM($F$18:F164))</f>
        <v>0</v>
      </c>
      <c r="H164" s="546">
        <f t="shared" ca="1" si="16"/>
        <v>0</v>
      </c>
    </row>
    <row r="165" spans="2:8" x14ac:dyDescent="0.2">
      <c r="B165" s="530">
        <f t="shared" si="17"/>
        <v>148</v>
      </c>
      <c r="C165" s="546">
        <f t="shared" ca="1" si="13"/>
        <v>0</v>
      </c>
      <c r="D165" s="546">
        <f t="shared" ca="1" si="14"/>
        <v>0</v>
      </c>
      <c r="E165" s="546">
        <f ca="1">IF(B165="","-",SUM($D$18:D165))</f>
        <v>0</v>
      </c>
      <c r="F165" s="546">
        <f t="shared" ca="1" si="15"/>
        <v>0</v>
      </c>
      <c r="G165" s="546">
        <f ca="1">IF(B165="","-",SUM($F$18:F165))</f>
        <v>0</v>
      </c>
      <c r="H165" s="546">
        <f t="shared" ca="1" si="16"/>
        <v>0</v>
      </c>
    </row>
    <row r="166" spans="2:8" x14ac:dyDescent="0.2">
      <c r="B166" s="530">
        <f t="shared" si="17"/>
        <v>149</v>
      </c>
      <c r="C166" s="546">
        <f t="shared" ca="1" si="13"/>
        <v>0</v>
      </c>
      <c r="D166" s="546">
        <f t="shared" ca="1" si="14"/>
        <v>0</v>
      </c>
      <c r="E166" s="546">
        <f ca="1">IF(B166="","-",SUM($D$18:D166))</f>
        <v>0</v>
      </c>
      <c r="F166" s="546">
        <f t="shared" ca="1" si="15"/>
        <v>0</v>
      </c>
      <c r="G166" s="546">
        <f ca="1">IF(B166="","-",SUM($F$18:F166))</f>
        <v>0</v>
      </c>
      <c r="H166" s="546">
        <f t="shared" ca="1" si="16"/>
        <v>0</v>
      </c>
    </row>
    <row r="167" spans="2:8" x14ac:dyDescent="0.2">
      <c r="B167" s="530">
        <f t="shared" si="17"/>
        <v>150</v>
      </c>
      <c r="C167" s="546">
        <f t="shared" ca="1" si="13"/>
        <v>0</v>
      </c>
      <c r="D167" s="546">
        <f t="shared" ca="1" si="14"/>
        <v>0</v>
      </c>
      <c r="E167" s="546">
        <f ca="1">IF(B167="","-",SUM($D$18:D167))</f>
        <v>0</v>
      </c>
      <c r="F167" s="546">
        <f t="shared" ca="1" si="15"/>
        <v>0</v>
      </c>
      <c r="G167" s="546">
        <f ca="1">IF(B167="","-",SUM($F$18:F167))</f>
        <v>0</v>
      </c>
      <c r="H167" s="546">
        <f t="shared" ca="1" si="16"/>
        <v>0</v>
      </c>
    </row>
    <row r="168" spans="2:8" x14ac:dyDescent="0.2">
      <c r="B168" s="530">
        <f t="shared" si="17"/>
        <v>151</v>
      </c>
      <c r="C168" s="546">
        <f t="shared" ca="1" si="13"/>
        <v>0</v>
      </c>
      <c r="D168" s="546">
        <f t="shared" ca="1" si="14"/>
        <v>0</v>
      </c>
      <c r="E168" s="546">
        <f ca="1">IF(B168="","-",SUM($D$18:D168))</f>
        <v>0</v>
      </c>
      <c r="F168" s="546">
        <f t="shared" ca="1" si="15"/>
        <v>0</v>
      </c>
      <c r="G168" s="546">
        <f ca="1">IF(B168="","-",SUM($F$18:F168))</f>
        <v>0</v>
      </c>
      <c r="H168" s="546">
        <f t="shared" ca="1" si="16"/>
        <v>0</v>
      </c>
    </row>
    <row r="169" spans="2:8" x14ac:dyDescent="0.2">
      <c r="B169" s="530">
        <f t="shared" si="17"/>
        <v>152</v>
      </c>
      <c r="C169" s="546">
        <f t="shared" ca="1" si="13"/>
        <v>0</v>
      </c>
      <c r="D169" s="546">
        <f t="shared" ca="1" si="14"/>
        <v>0</v>
      </c>
      <c r="E169" s="546">
        <f ca="1">IF(B169="","-",SUM($D$18:D169))</f>
        <v>0</v>
      </c>
      <c r="F169" s="546">
        <f t="shared" ca="1" si="15"/>
        <v>0</v>
      </c>
      <c r="G169" s="546">
        <f ca="1">IF(B169="","-",SUM($F$18:F169))</f>
        <v>0</v>
      </c>
      <c r="H169" s="546">
        <f t="shared" ca="1" si="16"/>
        <v>0</v>
      </c>
    </row>
    <row r="170" spans="2:8" x14ac:dyDescent="0.2">
      <c r="B170" s="530">
        <f t="shared" si="17"/>
        <v>153</v>
      </c>
      <c r="C170" s="546">
        <f t="shared" ca="1" si="13"/>
        <v>0</v>
      </c>
      <c r="D170" s="546">
        <f t="shared" ca="1" si="14"/>
        <v>0</v>
      </c>
      <c r="E170" s="546">
        <f ca="1">IF(B170="","-",SUM($D$18:D170))</f>
        <v>0</v>
      </c>
      <c r="F170" s="546">
        <f t="shared" ca="1" si="15"/>
        <v>0</v>
      </c>
      <c r="G170" s="546">
        <f ca="1">IF(B170="","-",SUM($F$18:F170))</f>
        <v>0</v>
      </c>
      <c r="H170" s="546">
        <f t="shared" ca="1" si="16"/>
        <v>0</v>
      </c>
    </row>
    <row r="171" spans="2:8" x14ac:dyDescent="0.2">
      <c r="B171" s="530">
        <f t="shared" si="17"/>
        <v>154</v>
      </c>
      <c r="C171" s="546">
        <f t="shared" ca="1" si="13"/>
        <v>0</v>
      </c>
      <c r="D171" s="546">
        <f t="shared" ca="1" si="14"/>
        <v>0</v>
      </c>
      <c r="E171" s="546">
        <f ca="1">IF(B171="","-",SUM($D$18:D171))</f>
        <v>0</v>
      </c>
      <c r="F171" s="546">
        <f t="shared" ca="1" si="15"/>
        <v>0</v>
      </c>
      <c r="G171" s="546">
        <f ca="1">IF(B171="","-",SUM($F$18:F171))</f>
        <v>0</v>
      </c>
      <c r="H171" s="546">
        <f t="shared" ca="1" si="16"/>
        <v>0</v>
      </c>
    </row>
    <row r="172" spans="2:8" x14ac:dyDescent="0.2">
      <c r="B172" s="530">
        <f t="shared" si="17"/>
        <v>155</v>
      </c>
      <c r="C172" s="546">
        <f t="shared" ca="1" si="13"/>
        <v>0</v>
      </c>
      <c r="D172" s="546">
        <f t="shared" ca="1" si="14"/>
        <v>0</v>
      </c>
      <c r="E172" s="546">
        <f ca="1">IF(B172="","-",SUM($D$18:D172))</f>
        <v>0</v>
      </c>
      <c r="F172" s="546">
        <f t="shared" ca="1" si="15"/>
        <v>0</v>
      </c>
      <c r="G172" s="546">
        <f ca="1">IF(B172="","-",SUM($F$18:F172))</f>
        <v>0</v>
      </c>
      <c r="H172" s="546">
        <f t="shared" ca="1" si="16"/>
        <v>0</v>
      </c>
    </row>
    <row r="173" spans="2:8" x14ac:dyDescent="0.2">
      <c r="B173" s="530">
        <f t="shared" si="17"/>
        <v>156</v>
      </c>
      <c r="C173" s="549">
        <f t="shared" ca="1" si="13"/>
        <v>0</v>
      </c>
      <c r="D173" s="546">
        <f t="shared" ca="1" si="14"/>
        <v>0</v>
      </c>
      <c r="E173" s="546">
        <f ca="1">IF(B173="","-",SUM($D$18:D173))</f>
        <v>0</v>
      </c>
      <c r="F173" s="546">
        <f t="shared" ca="1" si="15"/>
        <v>0</v>
      </c>
      <c r="G173" s="546">
        <f ca="1">IF(B173="","-",SUM($F$18:F173))</f>
        <v>0</v>
      </c>
      <c r="H173" s="546">
        <f t="shared" ca="1" si="16"/>
        <v>0</v>
      </c>
    </row>
    <row r="174" spans="2:8" x14ac:dyDescent="0.2">
      <c r="B174" s="530">
        <f t="shared" si="17"/>
        <v>157</v>
      </c>
      <c r="C174" s="546">
        <f t="shared" ca="1" si="13"/>
        <v>0</v>
      </c>
      <c r="D174" s="546">
        <f t="shared" ca="1" si="14"/>
        <v>0</v>
      </c>
      <c r="E174" s="546">
        <f ca="1">IF(B174="","-",SUM($D$18:D174))</f>
        <v>0</v>
      </c>
      <c r="F174" s="546">
        <f t="shared" ca="1" si="15"/>
        <v>0</v>
      </c>
      <c r="G174" s="546">
        <f ca="1">IF(B174="","-",SUM($F$18:F174))</f>
        <v>0</v>
      </c>
      <c r="H174" s="546">
        <f t="shared" ca="1" si="16"/>
        <v>0</v>
      </c>
    </row>
    <row r="175" spans="2:8" x14ac:dyDescent="0.2">
      <c r="B175" s="530">
        <f t="shared" si="17"/>
        <v>158</v>
      </c>
      <c r="C175" s="546">
        <f t="shared" ca="1" si="13"/>
        <v>0</v>
      </c>
      <c r="D175" s="546">
        <f t="shared" ca="1" si="14"/>
        <v>0</v>
      </c>
      <c r="E175" s="546">
        <f ca="1">IF(B175="","-",SUM($D$18:D175))</f>
        <v>0</v>
      </c>
      <c r="F175" s="546">
        <f t="shared" ca="1" si="15"/>
        <v>0</v>
      </c>
      <c r="G175" s="546">
        <f ca="1">IF(B175="","-",SUM($F$18:F175))</f>
        <v>0</v>
      </c>
      <c r="H175" s="546">
        <f t="shared" ca="1" si="16"/>
        <v>0</v>
      </c>
    </row>
    <row r="176" spans="2:8" x14ac:dyDescent="0.2">
      <c r="B176" s="530">
        <f t="shared" si="17"/>
        <v>159</v>
      </c>
      <c r="C176" s="546">
        <f t="shared" ca="1" si="13"/>
        <v>0</v>
      </c>
      <c r="D176" s="546">
        <f t="shared" ca="1" si="14"/>
        <v>0</v>
      </c>
      <c r="E176" s="546">
        <f ca="1">IF(B176="","-",SUM($D$18:D176))</f>
        <v>0</v>
      </c>
      <c r="F176" s="546">
        <f t="shared" ca="1" si="15"/>
        <v>0</v>
      </c>
      <c r="G176" s="546">
        <f ca="1">IF(B176="","-",SUM($F$18:F176))</f>
        <v>0</v>
      </c>
      <c r="H176" s="546">
        <f t="shared" ca="1" si="16"/>
        <v>0</v>
      </c>
    </row>
    <row r="177" spans="2:8" x14ac:dyDescent="0.2">
      <c r="B177" s="530">
        <f t="shared" si="17"/>
        <v>160</v>
      </c>
      <c r="C177" s="546">
        <f t="shared" ca="1" si="13"/>
        <v>0</v>
      </c>
      <c r="D177" s="546">
        <f t="shared" ca="1" si="14"/>
        <v>0</v>
      </c>
      <c r="E177" s="546">
        <f ca="1">IF(B177="","-",SUM($D$18:D177))</f>
        <v>0</v>
      </c>
      <c r="F177" s="546">
        <f t="shared" ca="1" si="15"/>
        <v>0</v>
      </c>
      <c r="G177" s="546">
        <f ca="1">IF(B177="","-",SUM($F$18:F177))</f>
        <v>0</v>
      </c>
      <c r="H177" s="546">
        <f t="shared" ca="1" si="16"/>
        <v>0</v>
      </c>
    </row>
    <row r="178" spans="2:8" x14ac:dyDescent="0.2">
      <c r="B178" s="530">
        <f t="shared" si="17"/>
        <v>161</v>
      </c>
      <c r="C178" s="546">
        <f t="shared" ca="1" si="13"/>
        <v>0</v>
      </c>
      <c r="D178" s="546">
        <f t="shared" ca="1" si="14"/>
        <v>0</v>
      </c>
      <c r="E178" s="546">
        <f ca="1">IF(B178="","-",SUM($D$18:D178))</f>
        <v>0</v>
      </c>
      <c r="F178" s="546">
        <f t="shared" ca="1" si="15"/>
        <v>0</v>
      </c>
      <c r="G178" s="546">
        <f ca="1">IF(B178="","-",SUM($F$18:F178))</f>
        <v>0</v>
      </c>
      <c r="H178" s="546">
        <f t="shared" ca="1" si="16"/>
        <v>0</v>
      </c>
    </row>
    <row r="179" spans="2:8" x14ac:dyDescent="0.2">
      <c r="B179" s="530">
        <f t="shared" si="17"/>
        <v>162</v>
      </c>
      <c r="C179" s="546">
        <f t="shared" ca="1" si="13"/>
        <v>0</v>
      </c>
      <c r="D179" s="546">
        <f t="shared" ca="1" si="14"/>
        <v>0</v>
      </c>
      <c r="E179" s="546">
        <f ca="1">IF(B179="","-",SUM($D$18:D179))</f>
        <v>0</v>
      </c>
      <c r="F179" s="546">
        <f t="shared" ca="1" si="15"/>
        <v>0</v>
      </c>
      <c r="G179" s="546">
        <f ca="1">IF(B179="","-",SUM($F$18:F179))</f>
        <v>0</v>
      </c>
      <c r="H179" s="546">
        <f t="shared" ca="1" si="16"/>
        <v>0</v>
      </c>
    </row>
    <row r="180" spans="2:8" x14ac:dyDescent="0.2">
      <c r="B180" s="530">
        <f t="shared" si="17"/>
        <v>163</v>
      </c>
      <c r="C180" s="546">
        <f t="shared" ca="1" si="13"/>
        <v>0</v>
      </c>
      <c r="D180" s="546">
        <f t="shared" ca="1" si="14"/>
        <v>0</v>
      </c>
      <c r="E180" s="546">
        <f ca="1">IF(B180="","-",SUM($D$18:D180))</f>
        <v>0</v>
      </c>
      <c r="F180" s="546">
        <f t="shared" ca="1" si="15"/>
        <v>0</v>
      </c>
      <c r="G180" s="546">
        <f ca="1">IF(B180="","-",SUM($F$18:F180))</f>
        <v>0</v>
      </c>
      <c r="H180" s="546">
        <f t="shared" ca="1" si="16"/>
        <v>0</v>
      </c>
    </row>
    <row r="181" spans="2:8" x14ac:dyDescent="0.2">
      <c r="B181" s="530">
        <f t="shared" si="17"/>
        <v>164</v>
      </c>
      <c r="C181" s="546">
        <f t="shared" ca="1" si="13"/>
        <v>0</v>
      </c>
      <c r="D181" s="546">
        <f t="shared" ca="1" si="14"/>
        <v>0</v>
      </c>
      <c r="E181" s="546">
        <f ca="1">IF(B181="","-",SUM($D$18:D181))</f>
        <v>0</v>
      </c>
      <c r="F181" s="546">
        <f t="shared" ca="1" si="15"/>
        <v>0</v>
      </c>
      <c r="G181" s="546">
        <f ca="1">IF(B181="","-",SUM($F$18:F181))</f>
        <v>0</v>
      </c>
      <c r="H181" s="546">
        <f t="shared" ca="1" si="16"/>
        <v>0</v>
      </c>
    </row>
    <row r="182" spans="2:8" x14ac:dyDescent="0.2">
      <c r="B182" s="530">
        <f t="shared" si="17"/>
        <v>165</v>
      </c>
      <c r="C182" s="546">
        <f t="shared" ca="1" si="13"/>
        <v>0</v>
      </c>
      <c r="D182" s="546">
        <f t="shared" ca="1" si="14"/>
        <v>0</v>
      </c>
      <c r="E182" s="546">
        <f ca="1">IF(B182="","-",SUM($D$18:D182))</f>
        <v>0</v>
      </c>
      <c r="F182" s="546">
        <f t="shared" ca="1" si="15"/>
        <v>0</v>
      </c>
      <c r="G182" s="546">
        <f ca="1">IF(B182="","-",SUM($F$18:F182))</f>
        <v>0</v>
      </c>
      <c r="H182" s="546">
        <f t="shared" ca="1" si="16"/>
        <v>0</v>
      </c>
    </row>
    <row r="183" spans="2:8" x14ac:dyDescent="0.2">
      <c r="B183" s="530">
        <f t="shared" si="17"/>
        <v>166</v>
      </c>
      <c r="C183" s="546">
        <f t="shared" ca="1" si="13"/>
        <v>0</v>
      </c>
      <c r="D183" s="546">
        <f t="shared" ca="1" si="14"/>
        <v>0</v>
      </c>
      <c r="E183" s="546">
        <f ca="1">IF(B183="","-",SUM($D$18:D183))</f>
        <v>0</v>
      </c>
      <c r="F183" s="546">
        <f t="shared" ca="1" si="15"/>
        <v>0</v>
      </c>
      <c r="G183" s="546">
        <f ca="1">IF(B183="","-",SUM($F$18:F183))</f>
        <v>0</v>
      </c>
      <c r="H183" s="546">
        <f t="shared" ca="1" si="16"/>
        <v>0</v>
      </c>
    </row>
    <row r="184" spans="2:8" x14ac:dyDescent="0.2">
      <c r="B184" s="530">
        <f t="shared" si="17"/>
        <v>167</v>
      </c>
      <c r="C184" s="546">
        <f t="shared" ca="1" si="13"/>
        <v>0</v>
      </c>
      <c r="D184" s="546">
        <f t="shared" ca="1" si="14"/>
        <v>0</v>
      </c>
      <c r="E184" s="546">
        <f ca="1">IF(B184="","-",SUM($D$18:D184))</f>
        <v>0</v>
      </c>
      <c r="F184" s="546">
        <f t="shared" ca="1" si="15"/>
        <v>0</v>
      </c>
      <c r="G184" s="546">
        <f ca="1">IF(B184="","-",SUM($F$18:F184))</f>
        <v>0</v>
      </c>
      <c r="H184" s="546">
        <f t="shared" ca="1" si="16"/>
        <v>0</v>
      </c>
    </row>
    <row r="185" spans="2:8" x14ac:dyDescent="0.2">
      <c r="B185" s="530">
        <f t="shared" si="17"/>
        <v>168</v>
      </c>
      <c r="C185" s="549">
        <f t="shared" ca="1" si="13"/>
        <v>0</v>
      </c>
      <c r="D185" s="546">
        <f t="shared" ca="1" si="14"/>
        <v>0</v>
      </c>
      <c r="E185" s="546">
        <f ca="1">IF(B185="","-",SUM($D$18:D185))</f>
        <v>0</v>
      </c>
      <c r="F185" s="546">
        <f t="shared" ca="1" si="15"/>
        <v>0</v>
      </c>
      <c r="G185" s="546">
        <f ca="1">IF(B185="","-",SUM($F$18:F185))</f>
        <v>0</v>
      </c>
      <c r="H185" s="546">
        <f t="shared" ca="1" si="16"/>
        <v>0</v>
      </c>
    </row>
    <row r="186" spans="2:8" x14ac:dyDescent="0.2">
      <c r="B186" s="530">
        <f t="shared" si="17"/>
        <v>169</v>
      </c>
      <c r="C186" s="546">
        <f t="shared" ca="1" si="13"/>
        <v>0</v>
      </c>
      <c r="D186" s="546">
        <f t="shared" ca="1" si="14"/>
        <v>0</v>
      </c>
      <c r="E186" s="546">
        <f ca="1">IF(B186="","-",SUM($D$18:D186))</f>
        <v>0</v>
      </c>
      <c r="F186" s="546">
        <f t="shared" ca="1" si="15"/>
        <v>0</v>
      </c>
      <c r="G186" s="546">
        <f ca="1">IF(B186="","-",SUM($F$18:F186))</f>
        <v>0</v>
      </c>
      <c r="H186" s="546">
        <f t="shared" ca="1" si="16"/>
        <v>0</v>
      </c>
    </row>
    <row r="187" spans="2:8" x14ac:dyDescent="0.2">
      <c r="B187" s="530">
        <f t="shared" si="17"/>
        <v>170</v>
      </c>
      <c r="C187" s="546">
        <f t="shared" ca="1" si="13"/>
        <v>0</v>
      </c>
      <c r="D187" s="546">
        <f t="shared" ca="1" si="14"/>
        <v>0</v>
      </c>
      <c r="E187" s="546">
        <f ca="1">IF(B187="","-",SUM($D$18:D187))</f>
        <v>0</v>
      </c>
      <c r="F187" s="546">
        <f t="shared" ca="1" si="15"/>
        <v>0</v>
      </c>
      <c r="G187" s="546">
        <f ca="1">IF(B187="","-",SUM($F$18:F187))</f>
        <v>0</v>
      </c>
      <c r="H187" s="546">
        <f t="shared" ca="1" si="16"/>
        <v>0</v>
      </c>
    </row>
    <row r="188" spans="2:8" x14ac:dyDescent="0.2">
      <c r="B188" s="530">
        <f t="shared" si="17"/>
        <v>171</v>
      </c>
      <c r="C188" s="546">
        <f t="shared" ca="1" si="13"/>
        <v>0</v>
      </c>
      <c r="D188" s="546">
        <f t="shared" ca="1" si="14"/>
        <v>0</v>
      </c>
      <c r="E188" s="546">
        <f ca="1">IF(B188="","-",SUM($D$18:D188))</f>
        <v>0</v>
      </c>
      <c r="F188" s="546">
        <f t="shared" ca="1" si="15"/>
        <v>0</v>
      </c>
      <c r="G188" s="546">
        <f ca="1">IF(B188="","-",SUM($F$18:F188))</f>
        <v>0</v>
      </c>
      <c r="H188" s="546">
        <f t="shared" ca="1" si="16"/>
        <v>0</v>
      </c>
    </row>
    <row r="189" spans="2:8" x14ac:dyDescent="0.2">
      <c r="B189" s="530">
        <f t="shared" si="17"/>
        <v>172</v>
      </c>
      <c r="C189" s="546">
        <f t="shared" ca="1" si="13"/>
        <v>0</v>
      </c>
      <c r="D189" s="546">
        <f t="shared" ca="1" si="14"/>
        <v>0</v>
      </c>
      <c r="E189" s="546">
        <f ca="1">IF(B189="","-",SUM($D$18:D189))</f>
        <v>0</v>
      </c>
      <c r="F189" s="546">
        <f t="shared" ca="1" si="15"/>
        <v>0</v>
      </c>
      <c r="G189" s="546">
        <f ca="1">IF(B189="","-",SUM($F$18:F189))</f>
        <v>0</v>
      </c>
      <c r="H189" s="546">
        <f t="shared" ca="1" si="16"/>
        <v>0</v>
      </c>
    </row>
    <row r="190" spans="2:8" x14ac:dyDescent="0.2">
      <c r="B190" s="530">
        <f t="shared" si="17"/>
        <v>173</v>
      </c>
      <c r="C190" s="546">
        <f t="shared" ca="1" si="13"/>
        <v>0</v>
      </c>
      <c r="D190" s="546">
        <f t="shared" ca="1" si="14"/>
        <v>0</v>
      </c>
      <c r="E190" s="546">
        <f ca="1">IF(B190="","-",SUM($D$18:D190))</f>
        <v>0</v>
      </c>
      <c r="F190" s="546">
        <f t="shared" ca="1" si="15"/>
        <v>0</v>
      </c>
      <c r="G190" s="546">
        <f ca="1">IF(B190="","-",SUM($F$18:F190))</f>
        <v>0</v>
      </c>
      <c r="H190" s="546">
        <f t="shared" ca="1" si="16"/>
        <v>0</v>
      </c>
    </row>
    <row r="191" spans="2:8" x14ac:dyDescent="0.2">
      <c r="B191" s="530">
        <f t="shared" si="17"/>
        <v>174</v>
      </c>
      <c r="C191" s="546">
        <f t="shared" ca="1" si="13"/>
        <v>0</v>
      </c>
      <c r="D191" s="546">
        <f t="shared" ca="1" si="14"/>
        <v>0</v>
      </c>
      <c r="E191" s="546">
        <f ca="1">IF(B191="","-",SUM($D$18:D191))</f>
        <v>0</v>
      </c>
      <c r="F191" s="546">
        <f t="shared" ca="1" si="15"/>
        <v>0</v>
      </c>
      <c r="G191" s="546">
        <f ca="1">IF(B191="","-",SUM($F$18:F191))</f>
        <v>0</v>
      </c>
      <c r="H191" s="546">
        <f t="shared" ca="1" si="16"/>
        <v>0</v>
      </c>
    </row>
    <row r="192" spans="2:8" x14ac:dyDescent="0.2">
      <c r="B192" s="530">
        <f t="shared" si="17"/>
        <v>175</v>
      </c>
      <c r="C192" s="546">
        <f t="shared" ca="1" si="13"/>
        <v>0</v>
      </c>
      <c r="D192" s="546">
        <f t="shared" ca="1" si="14"/>
        <v>0</v>
      </c>
      <c r="E192" s="546">
        <f ca="1">IF(B192="","-",SUM($D$18:D192))</f>
        <v>0</v>
      </c>
      <c r="F192" s="546">
        <f t="shared" ca="1" si="15"/>
        <v>0</v>
      </c>
      <c r="G192" s="546">
        <f ca="1">IF(B192="","-",SUM($F$18:F192))</f>
        <v>0</v>
      </c>
      <c r="H192" s="546">
        <f t="shared" ca="1" si="16"/>
        <v>0</v>
      </c>
    </row>
    <row r="193" spans="2:8" x14ac:dyDescent="0.2">
      <c r="B193" s="530">
        <f t="shared" si="17"/>
        <v>176</v>
      </c>
      <c r="C193" s="546">
        <f t="shared" ca="1" si="13"/>
        <v>0</v>
      </c>
      <c r="D193" s="546">
        <f t="shared" ca="1" si="14"/>
        <v>0</v>
      </c>
      <c r="E193" s="546">
        <f ca="1">IF(B193="","-",SUM($D$18:D193))</f>
        <v>0</v>
      </c>
      <c r="F193" s="546">
        <f t="shared" ca="1" si="15"/>
        <v>0</v>
      </c>
      <c r="G193" s="546">
        <f ca="1">IF(B193="","-",SUM($F$18:F193))</f>
        <v>0</v>
      </c>
      <c r="H193" s="546">
        <f t="shared" ca="1" si="16"/>
        <v>0</v>
      </c>
    </row>
    <row r="194" spans="2:8" x14ac:dyDescent="0.2">
      <c r="B194" s="530">
        <f t="shared" si="17"/>
        <v>177</v>
      </c>
      <c r="C194" s="546">
        <f t="shared" ca="1" si="13"/>
        <v>0</v>
      </c>
      <c r="D194" s="546">
        <f t="shared" ca="1" si="14"/>
        <v>0</v>
      </c>
      <c r="E194" s="546">
        <f ca="1">IF(B194="","-",SUM($D$18:D194))</f>
        <v>0</v>
      </c>
      <c r="F194" s="546">
        <f t="shared" ca="1" si="15"/>
        <v>0</v>
      </c>
      <c r="G194" s="546">
        <f ca="1">IF(B194="","-",SUM($F$18:F194))</f>
        <v>0</v>
      </c>
      <c r="H194" s="546">
        <f t="shared" ca="1" si="16"/>
        <v>0</v>
      </c>
    </row>
    <row r="195" spans="2:8" x14ac:dyDescent="0.2">
      <c r="B195" s="530">
        <f t="shared" si="17"/>
        <v>178</v>
      </c>
      <c r="C195" s="546">
        <f t="shared" ca="1" si="13"/>
        <v>0</v>
      </c>
      <c r="D195" s="546">
        <f t="shared" ca="1" si="14"/>
        <v>0</v>
      </c>
      <c r="E195" s="546">
        <f ca="1">IF(B195="","-",SUM($D$18:D195))</f>
        <v>0</v>
      </c>
      <c r="F195" s="546">
        <f t="shared" ca="1" si="15"/>
        <v>0</v>
      </c>
      <c r="G195" s="546">
        <f ca="1">IF(B195="","-",SUM($F$18:F195))</f>
        <v>0</v>
      </c>
      <c r="H195" s="546">
        <f t="shared" ca="1" si="16"/>
        <v>0</v>
      </c>
    </row>
    <row r="196" spans="2:8" x14ac:dyDescent="0.2">
      <c r="B196" s="530">
        <f t="shared" si="17"/>
        <v>179</v>
      </c>
      <c r="C196" s="546">
        <f t="shared" ca="1" si="13"/>
        <v>0</v>
      </c>
      <c r="D196" s="546">
        <f t="shared" ca="1" si="14"/>
        <v>0</v>
      </c>
      <c r="E196" s="546">
        <f ca="1">IF(B196="","-",SUM($D$18:D196))</f>
        <v>0</v>
      </c>
      <c r="F196" s="546">
        <f t="shared" ca="1" si="15"/>
        <v>0</v>
      </c>
      <c r="G196" s="546">
        <f ca="1">IF(B196="","-",SUM($F$18:F196))</f>
        <v>0</v>
      </c>
      <c r="H196" s="546">
        <f t="shared" ca="1" si="16"/>
        <v>0</v>
      </c>
    </row>
    <row r="197" spans="2:8" x14ac:dyDescent="0.2">
      <c r="B197" s="530">
        <f t="shared" si="17"/>
        <v>180</v>
      </c>
      <c r="C197" s="549">
        <f t="shared" ca="1" si="13"/>
        <v>0</v>
      </c>
      <c r="D197" s="546">
        <f t="shared" ca="1" si="14"/>
        <v>0</v>
      </c>
      <c r="E197" s="546">
        <f ca="1">IF(B197="","-",SUM($D$18:D197))</f>
        <v>0</v>
      </c>
      <c r="F197" s="546">
        <f t="shared" ca="1" si="15"/>
        <v>0</v>
      </c>
      <c r="G197" s="546">
        <f ca="1">IF(B197="","-",SUM($F$18:F197))</f>
        <v>0</v>
      </c>
      <c r="H197" s="546">
        <f t="shared" ca="1" si="16"/>
        <v>0</v>
      </c>
    </row>
    <row r="198" spans="2:8" x14ac:dyDescent="0.2">
      <c r="B198" s="530">
        <f t="shared" si="17"/>
        <v>181</v>
      </c>
      <c r="C198" s="546">
        <f t="shared" ca="1" si="13"/>
        <v>0</v>
      </c>
      <c r="D198" s="546">
        <f t="shared" ca="1" si="14"/>
        <v>0</v>
      </c>
      <c r="E198" s="546">
        <f ca="1">IF(B198="","-",SUM($D$18:D198))</f>
        <v>0</v>
      </c>
      <c r="F198" s="546">
        <f t="shared" ca="1" si="15"/>
        <v>0</v>
      </c>
      <c r="G198" s="546">
        <f ca="1">IF(B198="","-",SUM($F$18:F198))</f>
        <v>0</v>
      </c>
      <c r="H198" s="546">
        <f t="shared" ca="1" si="16"/>
        <v>0</v>
      </c>
    </row>
    <row r="199" spans="2:8" x14ac:dyDescent="0.2">
      <c r="B199" s="530">
        <f t="shared" si="17"/>
        <v>182</v>
      </c>
      <c r="C199" s="546">
        <f t="shared" ca="1" si="13"/>
        <v>0</v>
      </c>
      <c r="D199" s="546">
        <f t="shared" ca="1" si="14"/>
        <v>0</v>
      </c>
      <c r="E199" s="546">
        <f ca="1">IF(B199="","-",SUM($D$18:D199))</f>
        <v>0</v>
      </c>
      <c r="F199" s="546">
        <f t="shared" ca="1" si="15"/>
        <v>0</v>
      </c>
      <c r="G199" s="546">
        <f ca="1">IF(B199="","-",SUM($F$18:F199))</f>
        <v>0</v>
      </c>
      <c r="H199" s="546">
        <f t="shared" ca="1" si="16"/>
        <v>0</v>
      </c>
    </row>
    <row r="200" spans="2:8" x14ac:dyDescent="0.2">
      <c r="B200" s="530">
        <f t="shared" si="17"/>
        <v>183</v>
      </c>
      <c r="C200" s="546">
        <f t="shared" ca="1" si="13"/>
        <v>0</v>
      </c>
      <c r="D200" s="546">
        <f t="shared" ca="1" si="14"/>
        <v>0</v>
      </c>
      <c r="E200" s="546">
        <f ca="1">IF(B200="","-",SUM($D$18:D200))</f>
        <v>0</v>
      </c>
      <c r="F200" s="546">
        <f t="shared" ca="1" si="15"/>
        <v>0</v>
      </c>
      <c r="G200" s="546">
        <f ca="1">IF(B200="","-",SUM($F$18:F200))</f>
        <v>0</v>
      </c>
      <c r="H200" s="546">
        <f t="shared" ca="1" si="16"/>
        <v>0</v>
      </c>
    </row>
    <row r="201" spans="2:8" x14ac:dyDescent="0.2">
      <c r="B201" s="530">
        <f t="shared" si="17"/>
        <v>184</v>
      </c>
      <c r="C201" s="546">
        <f t="shared" ca="1" si="13"/>
        <v>0</v>
      </c>
      <c r="D201" s="546">
        <f t="shared" ca="1" si="14"/>
        <v>0</v>
      </c>
      <c r="E201" s="546">
        <f ca="1">IF(B201="","-",SUM($D$18:D201))</f>
        <v>0</v>
      </c>
      <c r="F201" s="546">
        <f t="shared" ca="1" si="15"/>
        <v>0</v>
      </c>
      <c r="G201" s="546">
        <f ca="1">IF(B201="","-",SUM($F$18:F201))</f>
        <v>0</v>
      </c>
      <c r="H201" s="546">
        <f t="shared" ca="1" si="16"/>
        <v>0</v>
      </c>
    </row>
    <row r="202" spans="2:8" x14ac:dyDescent="0.2">
      <c r="B202" s="530">
        <f t="shared" si="17"/>
        <v>185</v>
      </c>
      <c r="C202" s="546">
        <f t="shared" ca="1" si="13"/>
        <v>0</v>
      </c>
      <c r="D202" s="546">
        <f t="shared" ca="1" si="14"/>
        <v>0</v>
      </c>
      <c r="E202" s="546">
        <f ca="1">IF(B202="","-",SUM($D$18:D202))</f>
        <v>0</v>
      </c>
      <c r="F202" s="546">
        <f t="shared" ca="1" si="15"/>
        <v>0</v>
      </c>
      <c r="G202" s="546">
        <f ca="1">IF(B202="","-",SUM($F$18:F202))</f>
        <v>0</v>
      </c>
      <c r="H202" s="546">
        <f t="shared" ca="1" si="16"/>
        <v>0</v>
      </c>
    </row>
    <row r="203" spans="2:8" x14ac:dyDescent="0.2">
      <c r="B203" s="530">
        <f t="shared" si="17"/>
        <v>186</v>
      </c>
      <c r="C203" s="546">
        <f t="shared" ca="1" si="13"/>
        <v>0</v>
      </c>
      <c r="D203" s="546">
        <f t="shared" ca="1" si="14"/>
        <v>0</v>
      </c>
      <c r="E203" s="546">
        <f ca="1">IF(B203="","-",SUM($D$18:D203))</f>
        <v>0</v>
      </c>
      <c r="F203" s="546">
        <f t="shared" ca="1" si="15"/>
        <v>0</v>
      </c>
      <c r="G203" s="546">
        <f ca="1">IF(B203="","-",SUM($F$18:F203))</f>
        <v>0</v>
      </c>
      <c r="H203" s="546">
        <f t="shared" ca="1" si="16"/>
        <v>0</v>
      </c>
    </row>
    <row r="204" spans="2:8" x14ac:dyDescent="0.2">
      <c r="B204" s="530">
        <f t="shared" si="17"/>
        <v>187</v>
      </c>
      <c r="C204" s="546">
        <f t="shared" ca="1" si="13"/>
        <v>0</v>
      </c>
      <c r="D204" s="546">
        <f t="shared" ca="1" si="14"/>
        <v>0</v>
      </c>
      <c r="E204" s="546">
        <f ca="1">IF(B204="","-",SUM($D$18:D204))</f>
        <v>0</v>
      </c>
      <c r="F204" s="546">
        <f t="shared" ca="1" si="15"/>
        <v>0</v>
      </c>
      <c r="G204" s="546">
        <f ca="1">IF(B204="","-",SUM($F$18:F204))</f>
        <v>0</v>
      </c>
      <c r="H204" s="546">
        <f t="shared" ca="1" si="16"/>
        <v>0</v>
      </c>
    </row>
    <row r="205" spans="2:8" x14ac:dyDescent="0.2">
      <c r="B205" s="530">
        <f t="shared" si="17"/>
        <v>188</v>
      </c>
      <c r="C205" s="546">
        <f t="shared" ca="1" si="13"/>
        <v>0</v>
      </c>
      <c r="D205" s="546">
        <f t="shared" ca="1" si="14"/>
        <v>0</v>
      </c>
      <c r="E205" s="546">
        <f ca="1">IF(B205="","-",SUM($D$18:D205))</f>
        <v>0</v>
      </c>
      <c r="F205" s="546">
        <f t="shared" ca="1" si="15"/>
        <v>0</v>
      </c>
      <c r="G205" s="546">
        <f ca="1">IF(B205="","-",SUM($F$18:F205))</f>
        <v>0</v>
      </c>
      <c r="H205" s="546">
        <f t="shared" ca="1" si="16"/>
        <v>0</v>
      </c>
    </row>
    <row r="206" spans="2:8" x14ac:dyDescent="0.2">
      <c r="B206" s="530">
        <f t="shared" si="17"/>
        <v>189</v>
      </c>
      <c r="C206" s="546">
        <f t="shared" ca="1" si="13"/>
        <v>0</v>
      </c>
      <c r="D206" s="546">
        <f t="shared" ca="1" si="14"/>
        <v>0</v>
      </c>
      <c r="E206" s="546">
        <f ca="1">IF(B206="","-",SUM($D$18:D206))</f>
        <v>0</v>
      </c>
      <c r="F206" s="546">
        <f t="shared" ca="1" si="15"/>
        <v>0</v>
      </c>
      <c r="G206" s="546">
        <f ca="1">IF(B206="","-",SUM($F$18:F206))</f>
        <v>0</v>
      </c>
      <c r="H206" s="546">
        <f t="shared" ca="1" si="16"/>
        <v>0</v>
      </c>
    </row>
    <row r="207" spans="2:8" x14ac:dyDescent="0.2">
      <c r="B207" s="530">
        <f t="shared" si="17"/>
        <v>190</v>
      </c>
      <c r="C207" s="546">
        <f t="shared" ca="1" si="13"/>
        <v>0</v>
      </c>
      <c r="D207" s="546">
        <f t="shared" ca="1" si="14"/>
        <v>0</v>
      </c>
      <c r="E207" s="546">
        <f ca="1">IF(B207="","-",SUM($D$18:D207))</f>
        <v>0</v>
      </c>
      <c r="F207" s="546">
        <f t="shared" ca="1" si="15"/>
        <v>0</v>
      </c>
      <c r="G207" s="546">
        <f ca="1">IF(B207="","-",SUM($F$18:F207))</f>
        <v>0</v>
      </c>
      <c r="H207" s="546">
        <f t="shared" ca="1" si="16"/>
        <v>0</v>
      </c>
    </row>
    <row r="208" spans="2:8" x14ac:dyDescent="0.2">
      <c r="B208" s="530">
        <f t="shared" si="17"/>
        <v>191</v>
      </c>
      <c r="C208" s="546">
        <f t="shared" ca="1" si="13"/>
        <v>0</v>
      </c>
      <c r="D208" s="546">
        <f t="shared" ca="1" si="14"/>
        <v>0</v>
      </c>
      <c r="E208" s="546">
        <f ca="1">IF(B208="","-",SUM($D$18:D208))</f>
        <v>0</v>
      </c>
      <c r="F208" s="546">
        <f t="shared" ca="1" si="15"/>
        <v>0</v>
      </c>
      <c r="G208" s="546">
        <f ca="1">IF(B208="","-",SUM($F$18:F208))</f>
        <v>0</v>
      </c>
      <c r="H208" s="546">
        <f t="shared" ca="1" si="16"/>
        <v>0</v>
      </c>
    </row>
    <row r="209" spans="2:8" x14ac:dyDescent="0.2">
      <c r="B209" s="530">
        <f t="shared" si="17"/>
        <v>192</v>
      </c>
      <c r="C209" s="549">
        <f t="shared" ca="1" si="13"/>
        <v>0</v>
      </c>
      <c r="D209" s="546">
        <f t="shared" ca="1" si="14"/>
        <v>0</v>
      </c>
      <c r="E209" s="546">
        <f ca="1">IF(B209="","-",SUM($D$18:D209))</f>
        <v>0</v>
      </c>
      <c r="F209" s="546">
        <f t="shared" ca="1" si="15"/>
        <v>0</v>
      </c>
      <c r="G209" s="546">
        <f ca="1">IF(B209="","-",SUM($F$18:F209))</f>
        <v>0</v>
      </c>
      <c r="H209" s="546">
        <f t="shared" ca="1" si="16"/>
        <v>0</v>
      </c>
    </row>
    <row r="210" spans="2:8" x14ac:dyDescent="0.2">
      <c r="B210" s="530">
        <f t="shared" si="17"/>
        <v>193</v>
      </c>
      <c r="C210" s="546">
        <f t="shared" ref="C210:C257" ca="1" si="18">IF(B210="","-",IF(B210&lt;=$D$6,D210,  $D$7))</f>
        <v>0</v>
      </c>
      <c r="D210" s="546">
        <f t="shared" ref="D210:D273" ca="1" si="19">IF(B210="","-",$D$4/12*H209)</f>
        <v>0</v>
      </c>
      <c r="E210" s="546">
        <f ca="1">IF(B210="","-",SUM($D$18:D210))</f>
        <v>0</v>
      </c>
      <c r="F210" s="546">
        <f t="shared" ref="F210:F273" ca="1" si="20">IF(B210="","-",C210-D210)</f>
        <v>0</v>
      </c>
      <c r="G210" s="546">
        <f ca="1">IF(B210="","-",SUM($F$18:F210))</f>
        <v>0</v>
      </c>
      <c r="H210" s="546">
        <f t="shared" ref="H210:H273" ca="1" si="21">IF(B210="","-",H209-F210)</f>
        <v>0</v>
      </c>
    </row>
    <row r="211" spans="2:8" x14ac:dyDescent="0.2">
      <c r="B211" s="530">
        <f t="shared" si="17"/>
        <v>194</v>
      </c>
      <c r="C211" s="546">
        <f t="shared" ca="1" si="18"/>
        <v>0</v>
      </c>
      <c r="D211" s="546">
        <f t="shared" ca="1" si="19"/>
        <v>0</v>
      </c>
      <c r="E211" s="546">
        <f ca="1">IF(B211="","-",SUM($D$18:D211))</f>
        <v>0</v>
      </c>
      <c r="F211" s="546">
        <f t="shared" ca="1" si="20"/>
        <v>0</v>
      </c>
      <c r="G211" s="546">
        <f ca="1">IF(B211="","-",SUM($F$18:F211))</f>
        <v>0</v>
      </c>
      <c r="H211" s="546">
        <f t="shared" ca="1" si="21"/>
        <v>0</v>
      </c>
    </row>
    <row r="212" spans="2:8" x14ac:dyDescent="0.2">
      <c r="B212" s="530">
        <f t="shared" si="17"/>
        <v>195</v>
      </c>
      <c r="C212" s="546">
        <f t="shared" ca="1" si="18"/>
        <v>0</v>
      </c>
      <c r="D212" s="546">
        <f t="shared" ca="1" si="19"/>
        <v>0</v>
      </c>
      <c r="E212" s="546">
        <f ca="1">IF(B212="","-",SUM($D$18:D212))</f>
        <v>0</v>
      </c>
      <c r="F212" s="546">
        <f t="shared" ca="1" si="20"/>
        <v>0</v>
      </c>
      <c r="G212" s="546">
        <f ca="1">IF(B212="","-",SUM($F$18:F212))</f>
        <v>0</v>
      </c>
      <c r="H212" s="546">
        <f t="shared" ca="1" si="21"/>
        <v>0</v>
      </c>
    </row>
    <row r="213" spans="2:8" x14ac:dyDescent="0.2">
      <c r="B213" s="530">
        <f t="shared" si="17"/>
        <v>196</v>
      </c>
      <c r="C213" s="546">
        <f t="shared" ca="1" si="18"/>
        <v>0</v>
      </c>
      <c r="D213" s="546">
        <f t="shared" ca="1" si="19"/>
        <v>0</v>
      </c>
      <c r="E213" s="546">
        <f ca="1">IF(B213="","-",SUM($D$18:D213))</f>
        <v>0</v>
      </c>
      <c r="F213" s="546">
        <f t="shared" ca="1" si="20"/>
        <v>0</v>
      </c>
      <c r="G213" s="546">
        <f ca="1">IF(B213="","-",SUM($F$18:F213))</f>
        <v>0</v>
      </c>
      <c r="H213" s="546">
        <f t="shared" ca="1" si="21"/>
        <v>0</v>
      </c>
    </row>
    <row r="214" spans="2:8" x14ac:dyDescent="0.2">
      <c r="B214" s="530">
        <f t="shared" si="17"/>
        <v>197</v>
      </c>
      <c r="C214" s="546">
        <f t="shared" ca="1" si="18"/>
        <v>0</v>
      </c>
      <c r="D214" s="546">
        <f t="shared" ca="1" si="19"/>
        <v>0</v>
      </c>
      <c r="E214" s="546">
        <f ca="1">IF(B214="","-",SUM($D$18:D214))</f>
        <v>0</v>
      </c>
      <c r="F214" s="546">
        <f t="shared" ca="1" si="20"/>
        <v>0</v>
      </c>
      <c r="G214" s="546">
        <f ca="1">IF(B214="","-",SUM($F$18:F214))</f>
        <v>0</v>
      </c>
      <c r="H214" s="546">
        <f t="shared" ca="1" si="21"/>
        <v>0</v>
      </c>
    </row>
    <row r="215" spans="2:8" x14ac:dyDescent="0.2">
      <c r="B215" s="530">
        <f t="shared" si="17"/>
        <v>198</v>
      </c>
      <c r="C215" s="546">
        <f t="shared" ca="1" si="18"/>
        <v>0</v>
      </c>
      <c r="D215" s="546">
        <f t="shared" ca="1" si="19"/>
        <v>0</v>
      </c>
      <c r="E215" s="546">
        <f ca="1">IF(B215="","-",SUM($D$18:D215))</f>
        <v>0</v>
      </c>
      <c r="F215" s="546">
        <f t="shared" ca="1" si="20"/>
        <v>0</v>
      </c>
      <c r="G215" s="546">
        <f ca="1">IF(B215="","-",SUM($F$18:F215))</f>
        <v>0</v>
      </c>
      <c r="H215" s="546">
        <f t="shared" ca="1" si="21"/>
        <v>0</v>
      </c>
    </row>
    <row r="216" spans="2:8" x14ac:dyDescent="0.2">
      <c r="B216" s="530">
        <f t="shared" si="17"/>
        <v>199</v>
      </c>
      <c r="C216" s="546">
        <f t="shared" ca="1" si="18"/>
        <v>0</v>
      </c>
      <c r="D216" s="546">
        <f t="shared" ca="1" si="19"/>
        <v>0</v>
      </c>
      <c r="E216" s="546">
        <f ca="1">IF(B216="","-",SUM($D$18:D216))</f>
        <v>0</v>
      </c>
      <c r="F216" s="546">
        <f t="shared" ca="1" si="20"/>
        <v>0</v>
      </c>
      <c r="G216" s="546">
        <f ca="1">IF(B216="","-",SUM($F$18:F216))</f>
        <v>0</v>
      </c>
      <c r="H216" s="546">
        <f t="shared" ca="1" si="21"/>
        <v>0</v>
      </c>
    </row>
    <row r="217" spans="2:8" x14ac:dyDescent="0.2">
      <c r="B217" s="530">
        <f t="shared" si="17"/>
        <v>200</v>
      </c>
      <c r="C217" s="546">
        <f t="shared" ca="1" si="18"/>
        <v>0</v>
      </c>
      <c r="D217" s="546">
        <f t="shared" ca="1" si="19"/>
        <v>0</v>
      </c>
      <c r="E217" s="546">
        <f ca="1">IF(B217="","-",SUM($D$18:D217))</f>
        <v>0</v>
      </c>
      <c r="F217" s="546">
        <f t="shared" ca="1" si="20"/>
        <v>0</v>
      </c>
      <c r="G217" s="546">
        <f ca="1">IF(B217="","-",SUM($F$18:F217))</f>
        <v>0</v>
      </c>
      <c r="H217" s="546">
        <f t="shared" ca="1" si="21"/>
        <v>0</v>
      </c>
    </row>
    <row r="218" spans="2:8" x14ac:dyDescent="0.2">
      <c r="B218" s="530">
        <f t="shared" si="17"/>
        <v>201</v>
      </c>
      <c r="C218" s="546">
        <f t="shared" ca="1" si="18"/>
        <v>0</v>
      </c>
      <c r="D218" s="546">
        <f t="shared" ca="1" si="19"/>
        <v>0</v>
      </c>
      <c r="E218" s="546">
        <f ca="1">IF(B218="","-",SUM($D$18:D218))</f>
        <v>0</v>
      </c>
      <c r="F218" s="546">
        <f t="shared" ca="1" si="20"/>
        <v>0</v>
      </c>
      <c r="G218" s="546">
        <f ca="1">IF(B218="","-",SUM($F$18:F218))</f>
        <v>0</v>
      </c>
      <c r="H218" s="546">
        <f t="shared" ca="1" si="21"/>
        <v>0</v>
      </c>
    </row>
    <row r="219" spans="2:8" x14ac:dyDescent="0.2">
      <c r="B219" s="530">
        <f t="shared" si="17"/>
        <v>202</v>
      </c>
      <c r="C219" s="546">
        <f t="shared" ca="1" si="18"/>
        <v>0</v>
      </c>
      <c r="D219" s="546">
        <f t="shared" ca="1" si="19"/>
        <v>0</v>
      </c>
      <c r="E219" s="546">
        <f ca="1">IF(B219="","-",SUM($D$18:D219))</f>
        <v>0</v>
      </c>
      <c r="F219" s="546">
        <f t="shared" ca="1" si="20"/>
        <v>0</v>
      </c>
      <c r="G219" s="546">
        <f ca="1">IF(B219="","-",SUM($F$18:F219))</f>
        <v>0</v>
      </c>
      <c r="H219" s="546">
        <f t="shared" ca="1" si="21"/>
        <v>0</v>
      </c>
    </row>
    <row r="220" spans="2:8" x14ac:dyDescent="0.2">
      <c r="B220" s="530">
        <f t="shared" si="17"/>
        <v>203</v>
      </c>
      <c r="C220" s="546">
        <f t="shared" ca="1" si="18"/>
        <v>0</v>
      </c>
      <c r="D220" s="546">
        <f t="shared" ca="1" si="19"/>
        <v>0</v>
      </c>
      <c r="E220" s="546">
        <f ca="1">IF(B220="","-",SUM($D$18:D220))</f>
        <v>0</v>
      </c>
      <c r="F220" s="546">
        <f t="shared" ca="1" si="20"/>
        <v>0</v>
      </c>
      <c r="G220" s="546">
        <f ca="1">IF(B220="","-",SUM($F$18:F220))</f>
        <v>0</v>
      </c>
      <c r="H220" s="546">
        <f t="shared" ca="1" si="21"/>
        <v>0</v>
      </c>
    </row>
    <row r="221" spans="2:8" x14ac:dyDescent="0.2">
      <c r="B221" s="530">
        <f t="shared" si="17"/>
        <v>204</v>
      </c>
      <c r="C221" s="549">
        <f t="shared" ca="1" si="18"/>
        <v>0</v>
      </c>
      <c r="D221" s="546">
        <f t="shared" ca="1" si="19"/>
        <v>0</v>
      </c>
      <c r="E221" s="546">
        <f ca="1">IF(B221="","-",SUM($D$18:D221))</f>
        <v>0</v>
      </c>
      <c r="F221" s="546">
        <f t="shared" ca="1" si="20"/>
        <v>0</v>
      </c>
      <c r="G221" s="546">
        <f ca="1">IF(B221="","-",SUM($F$18:F221))</f>
        <v>0</v>
      </c>
      <c r="H221" s="546">
        <f t="shared" ca="1" si="21"/>
        <v>0</v>
      </c>
    </row>
    <row r="222" spans="2:8" x14ac:dyDescent="0.2">
      <c r="B222" s="530">
        <f t="shared" ref="B222:B285" si="22">IF(B221&gt;=$D$5*12,"",B221+1)</f>
        <v>205</v>
      </c>
      <c r="C222" s="546">
        <f t="shared" ca="1" si="18"/>
        <v>0</v>
      </c>
      <c r="D222" s="546">
        <f t="shared" ca="1" si="19"/>
        <v>0</v>
      </c>
      <c r="E222" s="546">
        <f ca="1">IF(B222="","-",SUM($D$18:D222))</f>
        <v>0</v>
      </c>
      <c r="F222" s="546">
        <f t="shared" ca="1" si="20"/>
        <v>0</v>
      </c>
      <c r="G222" s="546">
        <f ca="1">IF(B222="","-",SUM($F$18:F222))</f>
        <v>0</v>
      </c>
      <c r="H222" s="546">
        <f t="shared" ca="1" si="21"/>
        <v>0</v>
      </c>
    </row>
    <row r="223" spans="2:8" x14ac:dyDescent="0.2">
      <c r="B223" s="530">
        <f t="shared" si="22"/>
        <v>206</v>
      </c>
      <c r="C223" s="546">
        <f t="shared" ca="1" si="18"/>
        <v>0</v>
      </c>
      <c r="D223" s="546">
        <f t="shared" ca="1" si="19"/>
        <v>0</v>
      </c>
      <c r="E223" s="546">
        <f ca="1">IF(B223="","-",SUM($D$18:D223))</f>
        <v>0</v>
      </c>
      <c r="F223" s="546">
        <f t="shared" ca="1" si="20"/>
        <v>0</v>
      </c>
      <c r="G223" s="546">
        <f ca="1">IF(B223="","-",SUM($F$18:F223))</f>
        <v>0</v>
      </c>
      <c r="H223" s="546">
        <f t="shared" ca="1" si="21"/>
        <v>0</v>
      </c>
    </row>
    <row r="224" spans="2:8" x14ac:dyDescent="0.2">
      <c r="B224" s="530">
        <f t="shared" si="22"/>
        <v>207</v>
      </c>
      <c r="C224" s="546">
        <f t="shared" ca="1" si="18"/>
        <v>0</v>
      </c>
      <c r="D224" s="546">
        <f t="shared" ca="1" si="19"/>
        <v>0</v>
      </c>
      <c r="E224" s="546">
        <f ca="1">IF(B224="","-",SUM($D$18:D224))</f>
        <v>0</v>
      </c>
      <c r="F224" s="546">
        <f t="shared" ca="1" si="20"/>
        <v>0</v>
      </c>
      <c r="G224" s="546">
        <f ca="1">IF(B224="","-",SUM($F$18:F224))</f>
        <v>0</v>
      </c>
      <c r="H224" s="546">
        <f t="shared" ca="1" si="21"/>
        <v>0</v>
      </c>
    </row>
    <row r="225" spans="2:8" x14ac:dyDescent="0.2">
      <c r="B225" s="530">
        <f t="shared" si="22"/>
        <v>208</v>
      </c>
      <c r="C225" s="546">
        <f t="shared" ca="1" si="18"/>
        <v>0</v>
      </c>
      <c r="D225" s="546">
        <f t="shared" ca="1" si="19"/>
        <v>0</v>
      </c>
      <c r="E225" s="546">
        <f ca="1">IF(B225="","-",SUM($D$18:D225))</f>
        <v>0</v>
      </c>
      <c r="F225" s="546">
        <f t="shared" ca="1" si="20"/>
        <v>0</v>
      </c>
      <c r="G225" s="546">
        <f ca="1">IF(B225="","-",SUM($F$18:F225))</f>
        <v>0</v>
      </c>
      <c r="H225" s="546">
        <f t="shared" ca="1" si="21"/>
        <v>0</v>
      </c>
    </row>
    <row r="226" spans="2:8" x14ac:dyDescent="0.2">
      <c r="B226" s="530">
        <f t="shared" si="22"/>
        <v>209</v>
      </c>
      <c r="C226" s="546">
        <f t="shared" ca="1" si="18"/>
        <v>0</v>
      </c>
      <c r="D226" s="546">
        <f t="shared" ca="1" si="19"/>
        <v>0</v>
      </c>
      <c r="E226" s="546">
        <f ca="1">IF(B226="","-",SUM($D$18:D226))</f>
        <v>0</v>
      </c>
      <c r="F226" s="546">
        <f t="shared" ca="1" si="20"/>
        <v>0</v>
      </c>
      <c r="G226" s="546">
        <f ca="1">IF(B226="","-",SUM($F$18:F226))</f>
        <v>0</v>
      </c>
      <c r="H226" s="546">
        <f t="shared" ca="1" si="21"/>
        <v>0</v>
      </c>
    </row>
    <row r="227" spans="2:8" x14ac:dyDescent="0.2">
      <c r="B227" s="530">
        <f t="shared" si="22"/>
        <v>210</v>
      </c>
      <c r="C227" s="546">
        <f t="shared" ca="1" si="18"/>
        <v>0</v>
      </c>
      <c r="D227" s="546">
        <f t="shared" ca="1" si="19"/>
        <v>0</v>
      </c>
      <c r="E227" s="546">
        <f ca="1">IF(B227="","-",SUM($D$18:D227))</f>
        <v>0</v>
      </c>
      <c r="F227" s="546">
        <f t="shared" ca="1" si="20"/>
        <v>0</v>
      </c>
      <c r="G227" s="546">
        <f ca="1">IF(B227="","-",SUM($F$18:F227))</f>
        <v>0</v>
      </c>
      <c r="H227" s="546">
        <f t="shared" ca="1" si="21"/>
        <v>0</v>
      </c>
    </row>
    <row r="228" spans="2:8" x14ac:dyDescent="0.2">
      <c r="B228" s="530">
        <f t="shared" si="22"/>
        <v>211</v>
      </c>
      <c r="C228" s="546">
        <f t="shared" ca="1" si="18"/>
        <v>0</v>
      </c>
      <c r="D228" s="546">
        <f t="shared" ca="1" si="19"/>
        <v>0</v>
      </c>
      <c r="E228" s="546">
        <f ca="1">IF(B228="","-",SUM($D$18:D228))</f>
        <v>0</v>
      </c>
      <c r="F228" s="546">
        <f t="shared" ca="1" si="20"/>
        <v>0</v>
      </c>
      <c r="G228" s="546">
        <f ca="1">IF(B228="","-",SUM($F$18:F228))</f>
        <v>0</v>
      </c>
      <c r="H228" s="546">
        <f t="shared" ca="1" si="21"/>
        <v>0</v>
      </c>
    </row>
    <row r="229" spans="2:8" x14ac:dyDescent="0.2">
      <c r="B229" s="530">
        <f t="shared" si="22"/>
        <v>212</v>
      </c>
      <c r="C229" s="546">
        <f t="shared" ca="1" si="18"/>
        <v>0</v>
      </c>
      <c r="D229" s="546">
        <f t="shared" ca="1" si="19"/>
        <v>0</v>
      </c>
      <c r="E229" s="546">
        <f ca="1">IF(B229="","-",SUM($D$18:D229))</f>
        <v>0</v>
      </c>
      <c r="F229" s="546">
        <f t="shared" ca="1" si="20"/>
        <v>0</v>
      </c>
      <c r="G229" s="546">
        <f ca="1">IF(B229="","-",SUM($F$18:F229))</f>
        <v>0</v>
      </c>
      <c r="H229" s="546">
        <f t="shared" ca="1" si="21"/>
        <v>0</v>
      </c>
    </row>
    <row r="230" spans="2:8" x14ac:dyDescent="0.2">
      <c r="B230" s="530">
        <f t="shared" si="22"/>
        <v>213</v>
      </c>
      <c r="C230" s="546">
        <f t="shared" ca="1" si="18"/>
        <v>0</v>
      </c>
      <c r="D230" s="546">
        <f t="shared" ca="1" si="19"/>
        <v>0</v>
      </c>
      <c r="E230" s="546">
        <f ca="1">IF(B230="","-",SUM($D$18:D230))</f>
        <v>0</v>
      </c>
      <c r="F230" s="546">
        <f t="shared" ca="1" si="20"/>
        <v>0</v>
      </c>
      <c r="G230" s="546">
        <f ca="1">IF(B230="","-",SUM($F$18:F230))</f>
        <v>0</v>
      </c>
      <c r="H230" s="546">
        <f t="shared" ca="1" si="21"/>
        <v>0</v>
      </c>
    </row>
    <row r="231" spans="2:8" x14ac:dyDescent="0.2">
      <c r="B231" s="530">
        <f t="shared" si="22"/>
        <v>214</v>
      </c>
      <c r="C231" s="546">
        <f t="shared" ca="1" si="18"/>
        <v>0</v>
      </c>
      <c r="D231" s="546">
        <f t="shared" ca="1" si="19"/>
        <v>0</v>
      </c>
      <c r="E231" s="546">
        <f ca="1">IF(B231="","-",SUM($D$18:D231))</f>
        <v>0</v>
      </c>
      <c r="F231" s="546">
        <f t="shared" ca="1" si="20"/>
        <v>0</v>
      </c>
      <c r="G231" s="546">
        <f ca="1">IF(B231="","-",SUM($F$18:F231))</f>
        <v>0</v>
      </c>
      <c r="H231" s="546">
        <f t="shared" ca="1" si="21"/>
        <v>0</v>
      </c>
    </row>
    <row r="232" spans="2:8" x14ac:dyDescent="0.2">
      <c r="B232" s="530">
        <f t="shared" si="22"/>
        <v>215</v>
      </c>
      <c r="C232" s="546">
        <f t="shared" ca="1" si="18"/>
        <v>0</v>
      </c>
      <c r="D232" s="546">
        <f t="shared" ca="1" si="19"/>
        <v>0</v>
      </c>
      <c r="E232" s="546">
        <f ca="1">IF(B232="","-",SUM($D$18:D232))</f>
        <v>0</v>
      </c>
      <c r="F232" s="546">
        <f t="shared" ca="1" si="20"/>
        <v>0</v>
      </c>
      <c r="G232" s="546">
        <f ca="1">IF(B232="","-",SUM($F$18:F232))</f>
        <v>0</v>
      </c>
      <c r="H232" s="546">
        <f t="shared" ca="1" si="21"/>
        <v>0</v>
      </c>
    </row>
    <row r="233" spans="2:8" x14ac:dyDescent="0.2">
      <c r="B233" s="530">
        <f t="shared" si="22"/>
        <v>216</v>
      </c>
      <c r="C233" s="549">
        <f t="shared" ca="1" si="18"/>
        <v>0</v>
      </c>
      <c r="D233" s="546">
        <f t="shared" ca="1" si="19"/>
        <v>0</v>
      </c>
      <c r="E233" s="546">
        <f ca="1">IF(B233="","-",SUM($D$18:D233))</f>
        <v>0</v>
      </c>
      <c r="F233" s="546">
        <f t="shared" ca="1" si="20"/>
        <v>0</v>
      </c>
      <c r="G233" s="546">
        <f ca="1">IF(B233="","-",SUM($F$18:F233))</f>
        <v>0</v>
      </c>
      <c r="H233" s="546">
        <f t="shared" ca="1" si="21"/>
        <v>0</v>
      </c>
    </row>
    <row r="234" spans="2:8" x14ac:dyDescent="0.2">
      <c r="B234" s="530">
        <f t="shared" si="22"/>
        <v>217</v>
      </c>
      <c r="C234" s="546">
        <f t="shared" ca="1" si="18"/>
        <v>0</v>
      </c>
      <c r="D234" s="546">
        <f t="shared" ca="1" si="19"/>
        <v>0</v>
      </c>
      <c r="E234" s="546">
        <f ca="1">IF(B234="","-",SUM($D$18:D234))</f>
        <v>0</v>
      </c>
      <c r="F234" s="546">
        <f t="shared" ca="1" si="20"/>
        <v>0</v>
      </c>
      <c r="G234" s="546">
        <f ca="1">IF(B234="","-",SUM($F$18:F234))</f>
        <v>0</v>
      </c>
      <c r="H234" s="546">
        <f t="shared" ca="1" si="21"/>
        <v>0</v>
      </c>
    </row>
    <row r="235" spans="2:8" x14ac:dyDescent="0.2">
      <c r="B235" s="530">
        <f t="shared" si="22"/>
        <v>218</v>
      </c>
      <c r="C235" s="546">
        <f t="shared" ca="1" si="18"/>
        <v>0</v>
      </c>
      <c r="D235" s="546">
        <f t="shared" ca="1" si="19"/>
        <v>0</v>
      </c>
      <c r="E235" s="546">
        <f ca="1">IF(B235="","-",SUM($D$18:D235))</f>
        <v>0</v>
      </c>
      <c r="F235" s="546">
        <f t="shared" ca="1" si="20"/>
        <v>0</v>
      </c>
      <c r="G235" s="546">
        <f ca="1">IF(B235="","-",SUM($F$18:F235))</f>
        <v>0</v>
      </c>
      <c r="H235" s="546">
        <f t="shared" ca="1" si="21"/>
        <v>0</v>
      </c>
    </row>
    <row r="236" spans="2:8" x14ac:dyDescent="0.2">
      <c r="B236" s="530">
        <f t="shared" si="22"/>
        <v>219</v>
      </c>
      <c r="C236" s="546">
        <f t="shared" ca="1" si="18"/>
        <v>0</v>
      </c>
      <c r="D236" s="546">
        <f t="shared" ca="1" si="19"/>
        <v>0</v>
      </c>
      <c r="E236" s="546">
        <f ca="1">IF(B236="","-",SUM($D$18:D236))</f>
        <v>0</v>
      </c>
      <c r="F236" s="546">
        <f t="shared" ca="1" si="20"/>
        <v>0</v>
      </c>
      <c r="G236" s="546">
        <f ca="1">IF(B236="","-",SUM($F$18:F236))</f>
        <v>0</v>
      </c>
      <c r="H236" s="546">
        <f t="shared" ca="1" si="21"/>
        <v>0</v>
      </c>
    </row>
    <row r="237" spans="2:8" x14ac:dyDescent="0.2">
      <c r="B237" s="530">
        <f t="shared" si="22"/>
        <v>220</v>
      </c>
      <c r="C237" s="546">
        <f t="shared" ca="1" si="18"/>
        <v>0</v>
      </c>
      <c r="D237" s="546">
        <f t="shared" ca="1" si="19"/>
        <v>0</v>
      </c>
      <c r="E237" s="546">
        <f ca="1">IF(B237="","-",SUM($D$18:D237))</f>
        <v>0</v>
      </c>
      <c r="F237" s="546">
        <f t="shared" ca="1" si="20"/>
        <v>0</v>
      </c>
      <c r="G237" s="546">
        <f ca="1">IF(B237="","-",SUM($F$18:F237))</f>
        <v>0</v>
      </c>
      <c r="H237" s="546">
        <f t="shared" ca="1" si="21"/>
        <v>0</v>
      </c>
    </row>
    <row r="238" spans="2:8" x14ac:dyDescent="0.2">
      <c r="B238" s="530">
        <f t="shared" si="22"/>
        <v>221</v>
      </c>
      <c r="C238" s="546">
        <f t="shared" ca="1" si="18"/>
        <v>0</v>
      </c>
      <c r="D238" s="546">
        <f t="shared" ca="1" si="19"/>
        <v>0</v>
      </c>
      <c r="E238" s="546">
        <f ca="1">IF(B238="","-",SUM($D$18:D238))</f>
        <v>0</v>
      </c>
      <c r="F238" s="546">
        <f t="shared" ca="1" si="20"/>
        <v>0</v>
      </c>
      <c r="G238" s="546">
        <f ca="1">IF(B238="","-",SUM($F$18:F238))</f>
        <v>0</v>
      </c>
      <c r="H238" s="546">
        <f t="shared" ca="1" si="21"/>
        <v>0</v>
      </c>
    </row>
    <row r="239" spans="2:8" x14ac:dyDescent="0.2">
      <c r="B239" s="530">
        <f t="shared" si="22"/>
        <v>222</v>
      </c>
      <c r="C239" s="546">
        <f t="shared" ca="1" si="18"/>
        <v>0</v>
      </c>
      <c r="D239" s="546">
        <f t="shared" ca="1" si="19"/>
        <v>0</v>
      </c>
      <c r="E239" s="546">
        <f ca="1">IF(B239="","-",SUM($D$18:D239))</f>
        <v>0</v>
      </c>
      <c r="F239" s="546">
        <f t="shared" ca="1" si="20"/>
        <v>0</v>
      </c>
      <c r="G239" s="546">
        <f ca="1">IF(B239="","-",SUM($F$18:F239))</f>
        <v>0</v>
      </c>
      <c r="H239" s="546">
        <f t="shared" ca="1" si="21"/>
        <v>0</v>
      </c>
    </row>
    <row r="240" spans="2:8" x14ac:dyDescent="0.2">
      <c r="B240" s="530">
        <f t="shared" si="22"/>
        <v>223</v>
      </c>
      <c r="C240" s="546">
        <f t="shared" ca="1" si="18"/>
        <v>0</v>
      </c>
      <c r="D240" s="546">
        <f t="shared" ca="1" si="19"/>
        <v>0</v>
      </c>
      <c r="E240" s="546">
        <f ca="1">IF(B240="","-",SUM($D$18:D240))</f>
        <v>0</v>
      </c>
      <c r="F240" s="546">
        <f t="shared" ca="1" si="20"/>
        <v>0</v>
      </c>
      <c r="G240" s="546">
        <f ca="1">IF(B240="","-",SUM($F$18:F240))</f>
        <v>0</v>
      </c>
      <c r="H240" s="546">
        <f t="shared" ca="1" si="21"/>
        <v>0</v>
      </c>
    </row>
    <row r="241" spans="2:8" x14ac:dyDescent="0.2">
      <c r="B241" s="530">
        <f t="shared" si="22"/>
        <v>224</v>
      </c>
      <c r="C241" s="546">
        <f t="shared" ca="1" si="18"/>
        <v>0</v>
      </c>
      <c r="D241" s="546">
        <f t="shared" ca="1" si="19"/>
        <v>0</v>
      </c>
      <c r="E241" s="546">
        <f ca="1">IF(B241="","-",SUM($D$18:D241))</f>
        <v>0</v>
      </c>
      <c r="F241" s="546">
        <f t="shared" ca="1" si="20"/>
        <v>0</v>
      </c>
      <c r="G241" s="546">
        <f ca="1">IF(B241="","-",SUM($F$18:F241))</f>
        <v>0</v>
      </c>
      <c r="H241" s="546">
        <f t="shared" ca="1" si="21"/>
        <v>0</v>
      </c>
    </row>
    <row r="242" spans="2:8" x14ac:dyDescent="0.2">
      <c r="B242" s="530">
        <f t="shared" si="22"/>
        <v>225</v>
      </c>
      <c r="C242" s="546">
        <f t="shared" ca="1" si="18"/>
        <v>0</v>
      </c>
      <c r="D242" s="546">
        <f t="shared" ca="1" si="19"/>
        <v>0</v>
      </c>
      <c r="E242" s="546">
        <f ca="1">IF(B242="","-",SUM($D$18:D242))</f>
        <v>0</v>
      </c>
      <c r="F242" s="546">
        <f t="shared" ca="1" si="20"/>
        <v>0</v>
      </c>
      <c r="G242" s="546">
        <f ca="1">IF(B242="","-",SUM($F$18:F242))</f>
        <v>0</v>
      </c>
      <c r="H242" s="546">
        <f t="shared" ca="1" si="21"/>
        <v>0</v>
      </c>
    </row>
    <row r="243" spans="2:8" x14ac:dyDescent="0.2">
      <c r="B243" s="530">
        <f t="shared" si="22"/>
        <v>226</v>
      </c>
      <c r="C243" s="546">
        <f t="shared" ca="1" si="18"/>
        <v>0</v>
      </c>
      <c r="D243" s="546">
        <f t="shared" ca="1" si="19"/>
        <v>0</v>
      </c>
      <c r="E243" s="546">
        <f ca="1">IF(B243="","-",SUM($D$18:D243))</f>
        <v>0</v>
      </c>
      <c r="F243" s="546">
        <f t="shared" ca="1" si="20"/>
        <v>0</v>
      </c>
      <c r="G243" s="546">
        <f ca="1">IF(B243="","-",SUM($F$18:F243))</f>
        <v>0</v>
      </c>
      <c r="H243" s="546">
        <f t="shared" ca="1" si="21"/>
        <v>0</v>
      </c>
    </row>
    <row r="244" spans="2:8" x14ac:dyDescent="0.2">
      <c r="B244" s="530">
        <f t="shared" si="22"/>
        <v>227</v>
      </c>
      <c r="C244" s="546">
        <f t="shared" ca="1" si="18"/>
        <v>0</v>
      </c>
      <c r="D244" s="546">
        <f t="shared" ca="1" si="19"/>
        <v>0</v>
      </c>
      <c r="E244" s="546">
        <f ca="1">IF(B244="","-",SUM($D$18:D244))</f>
        <v>0</v>
      </c>
      <c r="F244" s="546">
        <f t="shared" ca="1" si="20"/>
        <v>0</v>
      </c>
      <c r="G244" s="546">
        <f ca="1">IF(B244="","-",SUM($F$18:F244))</f>
        <v>0</v>
      </c>
      <c r="H244" s="546">
        <f t="shared" ca="1" si="21"/>
        <v>0</v>
      </c>
    </row>
    <row r="245" spans="2:8" x14ac:dyDescent="0.2">
      <c r="B245" s="530">
        <f t="shared" si="22"/>
        <v>228</v>
      </c>
      <c r="C245" s="549">
        <f t="shared" ca="1" si="18"/>
        <v>0</v>
      </c>
      <c r="D245" s="546">
        <f t="shared" ca="1" si="19"/>
        <v>0</v>
      </c>
      <c r="E245" s="546">
        <f ca="1">IF(B245="","-",SUM($D$18:D245))</f>
        <v>0</v>
      </c>
      <c r="F245" s="546">
        <f t="shared" ca="1" si="20"/>
        <v>0</v>
      </c>
      <c r="G245" s="546">
        <f ca="1">IF(B245="","-",SUM($F$18:F245))</f>
        <v>0</v>
      </c>
      <c r="H245" s="546">
        <f t="shared" ca="1" si="21"/>
        <v>0</v>
      </c>
    </row>
    <row r="246" spans="2:8" x14ac:dyDescent="0.2">
      <c r="B246" s="530">
        <f t="shared" si="22"/>
        <v>229</v>
      </c>
      <c r="C246" s="546">
        <f t="shared" ca="1" si="18"/>
        <v>0</v>
      </c>
      <c r="D246" s="546">
        <f t="shared" ca="1" si="19"/>
        <v>0</v>
      </c>
      <c r="E246" s="546">
        <f ca="1">IF(B246="","-",SUM($D$18:D246))</f>
        <v>0</v>
      </c>
      <c r="F246" s="546">
        <f t="shared" ca="1" si="20"/>
        <v>0</v>
      </c>
      <c r="G246" s="546">
        <f ca="1">IF(B246="","-",SUM($F$18:F246))</f>
        <v>0</v>
      </c>
      <c r="H246" s="546">
        <f t="shared" ca="1" si="21"/>
        <v>0</v>
      </c>
    </row>
    <row r="247" spans="2:8" x14ac:dyDescent="0.2">
      <c r="B247" s="530">
        <f t="shared" si="22"/>
        <v>230</v>
      </c>
      <c r="C247" s="546">
        <f t="shared" ca="1" si="18"/>
        <v>0</v>
      </c>
      <c r="D247" s="546">
        <f t="shared" ca="1" si="19"/>
        <v>0</v>
      </c>
      <c r="E247" s="546">
        <f ca="1">IF(B247="","-",SUM($D$18:D247))</f>
        <v>0</v>
      </c>
      <c r="F247" s="546">
        <f t="shared" ca="1" si="20"/>
        <v>0</v>
      </c>
      <c r="G247" s="546">
        <f ca="1">IF(B247="","-",SUM($F$18:F247))</f>
        <v>0</v>
      </c>
      <c r="H247" s="546">
        <f t="shared" ca="1" si="21"/>
        <v>0</v>
      </c>
    </row>
    <row r="248" spans="2:8" x14ac:dyDescent="0.2">
      <c r="B248" s="530">
        <f t="shared" si="22"/>
        <v>231</v>
      </c>
      <c r="C248" s="546">
        <f t="shared" ca="1" si="18"/>
        <v>0</v>
      </c>
      <c r="D248" s="546">
        <f t="shared" ca="1" si="19"/>
        <v>0</v>
      </c>
      <c r="E248" s="546">
        <f ca="1">IF(B248="","-",SUM($D$18:D248))</f>
        <v>0</v>
      </c>
      <c r="F248" s="546">
        <f t="shared" ca="1" si="20"/>
        <v>0</v>
      </c>
      <c r="G248" s="546">
        <f ca="1">IF(B248="","-",SUM($F$18:F248))</f>
        <v>0</v>
      </c>
      <c r="H248" s="546">
        <f t="shared" ca="1" si="21"/>
        <v>0</v>
      </c>
    </row>
    <row r="249" spans="2:8" x14ac:dyDescent="0.2">
      <c r="B249" s="530">
        <f t="shared" si="22"/>
        <v>232</v>
      </c>
      <c r="C249" s="546">
        <f t="shared" ca="1" si="18"/>
        <v>0</v>
      </c>
      <c r="D249" s="546">
        <f t="shared" ca="1" si="19"/>
        <v>0</v>
      </c>
      <c r="E249" s="546">
        <f ca="1">IF(B249="","-",SUM($D$18:D249))</f>
        <v>0</v>
      </c>
      <c r="F249" s="546">
        <f t="shared" ca="1" si="20"/>
        <v>0</v>
      </c>
      <c r="G249" s="546">
        <f ca="1">IF(B249="","-",SUM($F$18:F249))</f>
        <v>0</v>
      </c>
      <c r="H249" s="546">
        <f t="shared" ca="1" si="21"/>
        <v>0</v>
      </c>
    </row>
    <row r="250" spans="2:8" x14ac:dyDescent="0.2">
      <c r="B250" s="530">
        <f t="shared" si="22"/>
        <v>233</v>
      </c>
      <c r="C250" s="546">
        <f t="shared" ca="1" si="18"/>
        <v>0</v>
      </c>
      <c r="D250" s="546">
        <f t="shared" ca="1" si="19"/>
        <v>0</v>
      </c>
      <c r="E250" s="546">
        <f ca="1">IF(B250="","-",SUM($D$18:D250))</f>
        <v>0</v>
      </c>
      <c r="F250" s="546">
        <f t="shared" ca="1" si="20"/>
        <v>0</v>
      </c>
      <c r="G250" s="546">
        <f ca="1">IF(B250="","-",SUM($F$18:F250))</f>
        <v>0</v>
      </c>
      <c r="H250" s="546">
        <f t="shared" ca="1" si="21"/>
        <v>0</v>
      </c>
    </row>
    <row r="251" spans="2:8" x14ac:dyDescent="0.2">
      <c r="B251" s="530">
        <f t="shared" si="22"/>
        <v>234</v>
      </c>
      <c r="C251" s="546">
        <f t="shared" ca="1" si="18"/>
        <v>0</v>
      </c>
      <c r="D251" s="546">
        <f t="shared" ca="1" si="19"/>
        <v>0</v>
      </c>
      <c r="E251" s="546">
        <f ca="1">IF(B251="","-",SUM($D$18:D251))</f>
        <v>0</v>
      </c>
      <c r="F251" s="546">
        <f t="shared" ca="1" si="20"/>
        <v>0</v>
      </c>
      <c r="G251" s="546">
        <f ca="1">IF(B251="","-",SUM($F$18:F251))</f>
        <v>0</v>
      </c>
      <c r="H251" s="546">
        <f t="shared" ca="1" si="21"/>
        <v>0</v>
      </c>
    </row>
    <row r="252" spans="2:8" x14ac:dyDescent="0.2">
      <c r="B252" s="530">
        <f t="shared" si="22"/>
        <v>235</v>
      </c>
      <c r="C252" s="546">
        <f t="shared" ca="1" si="18"/>
        <v>0</v>
      </c>
      <c r="D252" s="546">
        <f t="shared" ca="1" si="19"/>
        <v>0</v>
      </c>
      <c r="E252" s="546">
        <f ca="1">IF(B252="","-",SUM($D$18:D252))</f>
        <v>0</v>
      </c>
      <c r="F252" s="546">
        <f t="shared" ca="1" si="20"/>
        <v>0</v>
      </c>
      <c r="G252" s="546">
        <f ca="1">IF(B252="","-",SUM($F$18:F252))</f>
        <v>0</v>
      </c>
      <c r="H252" s="546">
        <f t="shared" ca="1" si="21"/>
        <v>0</v>
      </c>
    </row>
    <row r="253" spans="2:8" x14ac:dyDescent="0.2">
      <c r="B253" s="530">
        <f t="shared" si="22"/>
        <v>236</v>
      </c>
      <c r="C253" s="546">
        <f t="shared" ca="1" si="18"/>
        <v>0</v>
      </c>
      <c r="D253" s="546">
        <f t="shared" ca="1" si="19"/>
        <v>0</v>
      </c>
      <c r="E253" s="546">
        <f ca="1">IF(B253="","-",SUM($D$18:D253))</f>
        <v>0</v>
      </c>
      <c r="F253" s="546">
        <f t="shared" ca="1" si="20"/>
        <v>0</v>
      </c>
      <c r="G253" s="546">
        <f ca="1">IF(B253="","-",SUM($F$18:F253))</f>
        <v>0</v>
      </c>
      <c r="H253" s="546">
        <f t="shared" ca="1" si="21"/>
        <v>0</v>
      </c>
    </row>
    <row r="254" spans="2:8" x14ac:dyDescent="0.2">
      <c r="B254" s="530">
        <f t="shared" si="22"/>
        <v>237</v>
      </c>
      <c r="C254" s="546">
        <f t="shared" ca="1" si="18"/>
        <v>0</v>
      </c>
      <c r="D254" s="546">
        <f t="shared" ca="1" si="19"/>
        <v>0</v>
      </c>
      <c r="E254" s="546">
        <f ca="1">IF(B254="","-",SUM($D$18:D254))</f>
        <v>0</v>
      </c>
      <c r="F254" s="546">
        <f t="shared" ca="1" si="20"/>
        <v>0</v>
      </c>
      <c r="G254" s="546">
        <f ca="1">IF(B254="","-",SUM($F$18:F254))</f>
        <v>0</v>
      </c>
      <c r="H254" s="546">
        <f t="shared" ca="1" si="21"/>
        <v>0</v>
      </c>
    </row>
    <row r="255" spans="2:8" x14ac:dyDescent="0.2">
      <c r="B255" s="530">
        <f t="shared" si="22"/>
        <v>238</v>
      </c>
      <c r="C255" s="546">
        <f t="shared" ca="1" si="18"/>
        <v>0</v>
      </c>
      <c r="D255" s="546">
        <f t="shared" ca="1" si="19"/>
        <v>0</v>
      </c>
      <c r="E255" s="546">
        <f ca="1">IF(B255="","-",SUM($D$18:D255))</f>
        <v>0</v>
      </c>
      <c r="F255" s="546">
        <f t="shared" ca="1" si="20"/>
        <v>0</v>
      </c>
      <c r="G255" s="546">
        <f ca="1">IF(B255="","-",SUM($F$18:F255))</f>
        <v>0</v>
      </c>
      <c r="H255" s="546">
        <f t="shared" ca="1" si="21"/>
        <v>0</v>
      </c>
    </row>
    <row r="256" spans="2:8" x14ac:dyDescent="0.2">
      <c r="B256" s="530">
        <f t="shared" si="22"/>
        <v>239</v>
      </c>
      <c r="C256" s="546">
        <f t="shared" ca="1" si="18"/>
        <v>0</v>
      </c>
      <c r="D256" s="546">
        <f t="shared" ca="1" si="19"/>
        <v>0</v>
      </c>
      <c r="E256" s="546">
        <f ca="1">IF(B256="","-",SUM($D$18:D256))</f>
        <v>0</v>
      </c>
      <c r="F256" s="546">
        <f t="shared" ca="1" si="20"/>
        <v>0</v>
      </c>
      <c r="G256" s="546">
        <f ca="1">IF(B256="","-",SUM($F$18:F256))</f>
        <v>0</v>
      </c>
      <c r="H256" s="546">
        <f t="shared" ca="1" si="21"/>
        <v>0</v>
      </c>
    </row>
    <row r="257" spans="2:8" x14ac:dyDescent="0.2">
      <c r="B257" s="530">
        <f t="shared" si="22"/>
        <v>240</v>
      </c>
      <c r="C257" s="549">
        <f t="shared" ca="1" si="18"/>
        <v>0</v>
      </c>
      <c r="D257" s="546">
        <f t="shared" ca="1" si="19"/>
        <v>0</v>
      </c>
      <c r="E257" s="546">
        <f ca="1">IF(B257="","-",SUM($D$18:D257))</f>
        <v>0</v>
      </c>
      <c r="F257" s="546">
        <f t="shared" ca="1" si="20"/>
        <v>0</v>
      </c>
      <c r="G257" s="546">
        <f ca="1">IF(B257="","-",SUM($F$18:F257))</f>
        <v>0</v>
      </c>
      <c r="H257" s="546">
        <f t="shared" ca="1" si="21"/>
        <v>0</v>
      </c>
    </row>
    <row r="258" spans="2:8" x14ac:dyDescent="0.2">
      <c r="B258" s="530">
        <f t="shared" si="22"/>
        <v>241</v>
      </c>
      <c r="C258" s="546">
        <f t="shared" ref="C258:C321" ca="1" si="23">IF(B258="","-",$D$7)</f>
        <v>0</v>
      </c>
      <c r="D258" s="546">
        <f t="shared" ca="1" si="19"/>
        <v>0</v>
      </c>
      <c r="E258" s="546">
        <f ca="1">IF(B258="","-",SUM($D$18:D258))</f>
        <v>0</v>
      </c>
      <c r="F258" s="546">
        <f t="shared" ca="1" si="20"/>
        <v>0</v>
      </c>
      <c r="G258" s="546">
        <f ca="1">IF(B258="","-",SUM($F$18:F258))</f>
        <v>0</v>
      </c>
      <c r="H258" s="546">
        <f t="shared" ca="1" si="21"/>
        <v>0</v>
      </c>
    </row>
    <row r="259" spans="2:8" x14ac:dyDescent="0.2">
      <c r="B259" s="530">
        <f t="shared" si="22"/>
        <v>242</v>
      </c>
      <c r="C259" s="546">
        <f t="shared" ca="1" si="23"/>
        <v>0</v>
      </c>
      <c r="D259" s="546">
        <f t="shared" ca="1" si="19"/>
        <v>0</v>
      </c>
      <c r="E259" s="546">
        <f ca="1">IF(B259="","-",SUM($D$18:D259))</f>
        <v>0</v>
      </c>
      <c r="F259" s="546">
        <f t="shared" ca="1" si="20"/>
        <v>0</v>
      </c>
      <c r="G259" s="546">
        <f ca="1">IF(B259="","-",SUM($F$18:F259))</f>
        <v>0</v>
      </c>
      <c r="H259" s="546">
        <f t="shared" ca="1" si="21"/>
        <v>0</v>
      </c>
    </row>
    <row r="260" spans="2:8" x14ac:dyDescent="0.2">
      <c r="B260" s="530">
        <f t="shared" si="22"/>
        <v>243</v>
      </c>
      <c r="C260" s="546">
        <f t="shared" ca="1" si="23"/>
        <v>0</v>
      </c>
      <c r="D260" s="546">
        <f t="shared" ca="1" si="19"/>
        <v>0</v>
      </c>
      <c r="E260" s="546">
        <f ca="1">IF(B260="","-",SUM($D$18:D260))</f>
        <v>0</v>
      </c>
      <c r="F260" s="546">
        <f t="shared" ca="1" si="20"/>
        <v>0</v>
      </c>
      <c r="G260" s="546">
        <f ca="1">IF(B260="","-",SUM($F$18:F260))</f>
        <v>0</v>
      </c>
      <c r="H260" s="546">
        <f t="shared" ca="1" si="21"/>
        <v>0</v>
      </c>
    </row>
    <row r="261" spans="2:8" x14ac:dyDescent="0.2">
      <c r="B261" s="530">
        <f t="shared" si="22"/>
        <v>244</v>
      </c>
      <c r="C261" s="546">
        <f t="shared" ca="1" si="23"/>
        <v>0</v>
      </c>
      <c r="D261" s="546">
        <f t="shared" ca="1" si="19"/>
        <v>0</v>
      </c>
      <c r="E261" s="546">
        <f ca="1">IF(B261="","-",SUM($D$18:D261))</f>
        <v>0</v>
      </c>
      <c r="F261" s="546">
        <f t="shared" ca="1" si="20"/>
        <v>0</v>
      </c>
      <c r="G261" s="546">
        <f ca="1">IF(B261="","-",SUM($F$18:F261))</f>
        <v>0</v>
      </c>
      <c r="H261" s="546">
        <f t="shared" ca="1" si="21"/>
        <v>0</v>
      </c>
    </row>
    <row r="262" spans="2:8" x14ac:dyDescent="0.2">
      <c r="B262" s="530">
        <f t="shared" si="22"/>
        <v>245</v>
      </c>
      <c r="C262" s="546">
        <f t="shared" ca="1" si="23"/>
        <v>0</v>
      </c>
      <c r="D262" s="546">
        <f t="shared" ca="1" si="19"/>
        <v>0</v>
      </c>
      <c r="E262" s="546">
        <f ca="1">IF(B262="","-",SUM($D$18:D262))</f>
        <v>0</v>
      </c>
      <c r="F262" s="546">
        <f t="shared" ca="1" si="20"/>
        <v>0</v>
      </c>
      <c r="G262" s="546">
        <f ca="1">IF(B262="","-",SUM($F$18:F262))</f>
        <v>0</v>
      </c>
      <c r="H262" s="546">
        <f t="shared" ca="1" si="21"/>
        <v>0</v>
      </c>
    </row>
    <row r="263" spans="2:8" x14ac:dyDescent="0.2">
      <c r="B263" s="530">
        <f t="shared" si="22"/>
        <v>246</v>
      </c>
      <c r="C263" s="546">
        <f t="shared" ca="1" si="23"/>
        <v>0</v>
      </c>
      <c r="D263" s="546">
        <f t="shared" ca="1" si="19"/>
        <v>0</v>
      </c>
      <c r="E263" s="546">
        <f ca="1">IF(B263="","-",SUM($D$18:D263))</f>
        <v>0</v>
      </c>
      <c r="F263" s="546">
        <f t="shared" ca="1" si="20"/>
        <v>0</v>
      </c>
      <c r="G263" s="546">
        <f ca="1">IF(B263="","-",SUM($F$18:F263))</f>
        <v>0</v>
      </c>
      <c r="H263" s="546">
        <f t="shared" ca="1" si="21"/>
        <v>0</v>
      </c>
    </row>
    <row r="264" spans="2:8" x14ac:dyDescent="0.2">
      <c r="B264" s="530">
        <f t="shared" si="22"/>
        <v>247</v>
      </c>
      <c r="C264" s="546">
        <f t="shared" ca="1" si="23"/>
        <v>0</v>
      </c>
      <c r="D264" s="546">
        <f t="shared" ca="1" si="19"/>
        <v>0</v>
      </c>
      <c r="E264" s="546">
        <f ca="1">IF(B264="","-",SUM($D$18:D264))</f>
        <v>0</v>
      </c>
      <c r="F264" s="546">
        <f t="shared" ca="1" si="20"/>
        <v>0</v>
      </c>
      <c r="G264" s="546">
        <f ca="1">IF(B264="","-",SUM($F$18:F264))</f>
        <v>0</v>
      </c>
      <c r="H264" s="546">
        <f t="shared" ca="1" si="21"/>
        <v>0</v>
      </c>
    </row>
    <row r="265" spans="2:8" x14ac:dyDescent="0.2">
      <c r="B265" s="530">
        <f t="shared" si="22"/>
        <v>248</v>
      </c>
      <c r="C265" s="546">
        <f t="shared" ca="1" si="23"/>
        <v>0</v>
      </c>
      <c r="D265" s="546">
        <f t="shared" ca="1" si="19"/>
        <v>0</v>
      </c>
      <c r="E265" s="546">
        <f ca="1">IF(B265="","-",SUM($D$18:D265))</f>
        <v>0</v>
      </c>
      <c r="F265" s="546">
        <f t="shared" ca="1" si="20"/>
        <v>0</v>
      </c>
      <c r="G265" s="546">
        <f ca="1">IF(B265="","-",SUM($F$18:F265))</f>
        <v>0</v>
      </c>
      <c r="H265" s="546">
        <f t="shared" ca="1" si="21"/>
        <v>0</v>
      </c>
    </row>
    <row r="266" spans="2:8" x14ac:dyDescent="0.2">
      <c r="B266" s="530">
        <f t="shared" si="22"/>
        <v>249</v>
      </c>
      <c r="C266" s="546">
        <f t="shared" ca="1" si="23"/>
        <v>0</v>
      </c>
      <c r="D266" s="546">
        <f t="shared" ca="1" si="19"/>
        <v>0</v>
      </c>
      <c r="E266" s="546">
        <f ca="1">IF(B266="","-",SUM($D$18:D266))</f>
        <v>0</v>
      </c>
      <c r="F266" s="546">
        <f t="shared" ca="1" si="20"/>
        <v>0</v>
      </c>
      <c r="G266" s="546">
        <f ca="1">IF(B266="","-",SUM($F$18:F266))</f>
        <v>0</v>
      </c>
      <c r="H266" s="546">
        <f t="shared" ca="1" si="21"/>
        <v>0</v>
      </c>
    </row>
    <row r="267" spans="2:8" x14ac:dyDescent="0.2">
      <c r="B267" s="530">
        <f t="shared" si="22"/>
        <v>250</v>
      </c>
      <c r="C267" s="546">
        <f t="shared" ca="1" si="23"/>
        <v>0</v>
      </c>
      <c r="D267" s="546">
        <f t="shared" ca="1" si="19"/>
        <v>0</v>
      </c>
      <c r="E267" s="546">
        <f ca="1">IF(B267="","-",SUM($D$18:D267))</f>
        <v>0</v>
      </c>
      <c r="F267" s="546">
        <f t="shared" ca="1" si="20"/>
        <v>0</v>
      </c>
      <c r="G267" s="546">
        <f ca="1">IF(B267="","-",SUM($F$18:F267))</f>
        <v>0</v>
      </c>
      <c r="H267" s="546">
        <f t="shared" ca="1" si="21"/>
        <v>0</v>
      </c>
    </row>
    <row r="268" spans="2:8" x14ac:dyDescent="0.2">
      <c r="B268" s="530">
        <f t="shared" si="22"/>
        <v>251</v>
      </c>
      <c r="C268" s="546">
        <f t="shared" ca="1" si="23"/>
        <v>0</v>
      </c>
      <c r="D268" s="546">
        <f t="shared" ca="1" si="19"/>
        <v>0</v>
      </c>
      <c r="E268" s="546">
        <f ca="1">IF(B268="","-",SUM($D$18:D268))</f>
        <v>0</v>
      </c>
      <c r="F268" s="546">
        <f t="shared" ca="1" si="20"/>
        <v>0</v>
      </c>
      <c r="G268" s="546">
        <f ca="1">IF(B268="","-",SUM($F$18:F268))</f>
        <v>0</v>
      </c>
      <c r="H268" s="546">
        <f t="shared" ca="1" si="21"/>
        <v>0</v>
      </c>
    </row>
    <row r="269" spans="2:8" x14ac:dyDescent="0.2">
      <c r="B269" s="530">
        <f t="shared" si="22"/>
        <v>252</v>
      </c>
      <c r="C269" s="546">
        <f t="shared" ca="1" si="23"/>
        <v>0</v>
      </c>
      <c r="D269" s="546">
        <f t="shared" ca="1" si="19"/>
        <v>0</v>
      </c>
      <c r="E269" s="546">
        <f ca="1">IF(B269="","-",SUM($D$18:D269))</f>
        <v>0</v>
      </c>
      <c r="F269" s="546">
        <f t="shared" ca="1" si="20"/>
        <v>0</v>
      </c>
      <c r="G269" s="546">
        <f ca="1">IF(B269="","-",SUM($F$18:F269))</f>
        <v>0</v>
      </c>
      <c r="H269" s="546">
        <f t="shared" ca="1" si="21"/>
        <v>0</v>
      </c>
    </row>
    <row r="270" spans="2:8" x14ac:dyDescent="0.2">
      <c r="B270" s="530">
        <f t="shared" si="22"/>
        <v>253</v>
      </c>
      <c r="C270" s="546">
        <f t="shared" ca="1" si="23"/>
        <v>0</v>
      </c>
      <c r="D270" s="546">
        <f t="shared" ca="1" si="19"/>
        <v>0</v>
      </c>
      <c r="E270" s="546">
        <f ca="1">IF(B270="","-",SUM($D$18:D270))</f>
        <v>0</v>
      </c>
      <c r="F270" s="546">
        <f t="shared" ca="1" si="20"/>
        <v>0</v>
      </c>
      <c r="G270" s="546">
        <f ca="1">IF(B270="","-",SUM($F$18:F270))</f>
        <v>0</v>
      </c>
      <c r="H270" s="546">
        <f t="shared" ca="1" si="21"/>
        <v>0</v>
      </c>
    </row>
    <row r="271" spans="2:8" x14ac:dyDescent="0.2">
      <c r="B271" s="530">
        <f t="shared" si="22"/>
        <v>254</v>
      </c>
      <c r="C271" s="546">
        <f t="shared" ca="1" si="23"/>
        <v>0</v>
      </c>
      <c r="D271" s="546">
        <f t="shared" ca="1" si="19"/>
        <v>0</v>
      </c>
      <c r="E271" s="546">
        <f ca="1">IF(B271="","-",SUM($D$18:D271))</f>
        <v>0</v>
      </c>
      <c r="F271" s="546">
        <f t="shared" ca="1" si="20"/>
        <v>0</v>
      </c>
      <c r="G271" s="546">
        <f ca="1">IF(B271="","-",SUM($F$18:F271))</f>
        <v>0</v>
      </c>
      <c r="H271" s="546">
        <f t="shared" ca="1" si="21"/>
        <v>0</v>
      </c>
    </row>
    <row r="272" spans="2:8" x14ac:dyDescent="0.2">
      <c r="B272" s="530">
        <f t="shared" si="22"/>
        <v>255</v>
      </c>
      <c r="C272" s="546">
        <f t="shared" ca="1" si="23"/>
        <v>0</v>
      </c>
      <c r="D272" s="546">
        <f t="shared" ca="1" si="19"/>
        <v>0</v>
      </c>
      <c r="E272" s="546">
        <f ca="1">IF(B272="","-",SUM($D$18:D272))</f>
        <v>0</v>
      </c>
      <c r="F272" s="546">
        <f t="shared" ca="1" si="20"/>
        <v>0</v>
      </c>
      <c r="G272" s="546">
        <f ca="1">IF(B272="","-",SUM($F$18:F272))</f>
        <v>0</v>
      </c>
      <c r="H272" s="546">
        <f t="shared" ca="1" si="21"/>
        <v>0</v>
      </c>
    </row>
    <row r="273" spans="2:8" x14ac:dyDescent="0.2">
      <c r="B273" s="530">
        <f t="shared" si="22"/>
        <v>256</v>
      </c>
      <c r="C273" s="546">
        <f t="shared" ca="1" si="23"/>
        <v>0</v>
      </c>
      <c r="D273" s="546">
        <f t="shared" ca="1" si="19"/>
        <v>0</v>
      </c>
      <c r="E273" s="546">
        <f ca="1">IF(B273="","-",SUM($D$18:D273))</f>
        <v>0</v>
      </c>
      <c r="F273" s="546">
        <f t="shared" ca="1" si="20"/>
        <v>0</v>
      </c>
      <c r="G273" s="546">
        <f ca="1">IF(B273="","-",SUM($F$18:F273))</f>
        <v>0</v>
      </c>
      <c r="H273" s="546">
        <f t="shared" ca="1" si="21"/>
        <v>0</v>
      </c>
    </row>
    <row r="274" spans="2:8" x14ac:dyDescent="0.2">
      <c r="B274" s="530">
        <f t="shared" si="22"/>
        <v>257</v>
      </c>
      <c r="C274" s="546">
        <f t="shared" ca="1" si="23"/>
        <v>0</v>
      </c>
      <c r="D274" s="546">
        <f t="shared" ref="D274:D337" ca="1" si="24">IF(B274="","-",$D$4/12*H273)</f>
        <v>0</v>
      </c>
      <c r="E274" s="546">
        <f ca="1">IF(B274="","-",SUM($D$18:D274))</f>
        <v>0</v>
      </c>
      <c r="F274" s="546">
        <f t="shared" ref="F274:F337" ca="1" si="25">IF(B274="","-",C274-D274)</f>
        <v>0</v>
      </c>
      <c r="G274" s="546">
        <f ca="1">IF(B274="","-",SUM($F$18:F274))</f>
        <v>0</v>
      </c>
      <c r="H274" s="546">
        <f t="shared" ref="H274:H337" ca="1" si="26">IF(B274="","-",H273-F274)</f>
        <v>0</v>
      </c>
    </row>
    <row r="275" spans="2:8" x14ac:dyDescent="0.2">
      <c r="B275" s="530">
        <f t="shared" si="22"/>
        <v>258</v>
      </c>
      <c r="C275" s="546">
        <f t="shared" ca="1" si="23"/>
        <v>0</v>
      </c>
      <c r="D275" s="546">
        <f t="shared" ca="1" si="24"/>
        <v>0</v>
      </c>
      <c r="E275" s="546">
        <f ca="1">IF(B275="","-",SUM($D$18:D275))</f>
        <v>0</v>
      </c>
      <c r="F275" s="546">
        <f t="shared" ca="1" si="25"/>
        <v>0</v>
      </c>
      <c r="G275" s="546">
        <f ca="1">IF(B275="","-",SUM($F$18:F275))</f>
        <v>0</v>
      </c>
      <c r="H275" s="546">
        <f t="shared" ca="1" si="26"/>
        <v>0</v>
      </c>
    </row>
    <row r="276" spans="2:8" x14ac:dyDescent="0.2">
      <c r="B276" s="530">
        <f t="shared" si="22"/>
        <v>259</v>
      </c>
      <c r="C276" s="546">
        <f t="shared" ca="1" si="23"/>
        <v>0</v>
      </c>
      <c r="D276" s="546">
        <f t="shared" ca="1" si="24"/>
        <v>0</v>
      </c>
      <c r="E276" s="546">
        <f ca="1">IF(B276="","-",SUM($D$18:D276))</f>
        <v>0</v>
      </c>
      <c r="F276" s="546">
        <f t="shared" ca="1" si="25"/>
        <v>0</v>
      </c>
      <c r="G276" s="546">
        <f ca="1">IF(B276="","-",SUM($F$18:F276))</f>
        <v>0</v>
      </c>
      <c r="H276" s="546">
        <f t="shared" ca="1" si="26"/>
        <v>0</v>
      </c>
    </row>
    <row r="277" spans="2:8" x14ac:dyDescent="0.2">
      <c r="B277" s="530">
        <f t="shared" si="22"/>
        <v>260</v>
      </c>
      <c r="C277" s="546">
        <f t="shared" ca="1" si="23"/>
        <v>0</v>
      </c>
      <c r="D277" s="546">
        <f t="shared" ca="1" si="24"/>
        <v>0</v>
      </c>
      <c r="E277" s="546">
        <f ca="1">IF(B277="","-",SUM($D$18:D277))</f>
        <v>0</v>
      </c>
      <c r="F277" s="546">
        <f t="shared" ca="1" si="25"/>
        <v>0</v>
      </c>
      <c r="G277" s="546">
        <f ca="1">IF(B277="","-",SUM($F$18:F277))</f>
        <v>0</v>
      </c>
      <c r="H277" s="546">
        <f t="shared" ca="1" si="26"/>
        <v>0</v>
      </c>
    </row>
    <row r="278" spans="2:8" x14ac:dyDescent="0.2">
      <c r="B278" s="530">
        <f t="shared" si="22"/>
        <v>261</v>
      </c>
      <c r="C278" s="546">
        <f t="shared" ca="1" si="23"/>
        <v>0</v>
      </c>
      <c r="D278" s="546">
        <f t="shared" ca="1" si="24"/>
        <v>0</v>
      </c>
      <c r="E278" s="546">
        <f ca="1">IF(B278="","-",SUM($D$18:D278))</f>
        <v>0</v>
      </c>
      <c r="F278" s="546">
        <f t="shared" ca="1" si="25"/>
        <v>0</v>
      </c>
      <c r="G278" s="546">
        <f ca="1">IF(B278="","-",SUM($F$18:F278))</f>
        <v>0</v>
      </c>
      <c r="H278" s="546">
        <f t="shared" ca="1" si="26"/>
        <v>0</v>
      </c>
    </row>
    <row r="279" spans="2:8" x14ac:dyDescent="0.2">
      <c r="B279" s="530">
        <f t="shared" si="22"/>
        <v>262</v>
      </c>
      <c r="C279" s="546">
        <f t="shared" ca="1" si="23"/>
        <v>0</v>
      </c>
      <c r="D279" s="546">
        <f t="shared" ca="1" si="24"/>
        <v>0</v>
      </c>
      <c r="E279" s="546">
        <f ca="1">IF(B279="","-",SUM($D$18:D279))</f>
        <v>0</v>
      </c>
      <c r="F279" s="546">
        <f t="shared" ca="1" si="25"/>
        <v>0</v>
      </c>
      <c r="G279" s="546">
        <f ca="1">IF(B279="","-",SUM($F$18:F279))</f>
        <v>0</v>
      </c>
      <c r="H279" s="546">
        <f t="shared" ca="1" si="26"/>
        <v>0</v>
      </c>
    </row>
    <row r="280" spans="2:8" x14ac:dyDescent="0.2">
      <c r="B280" s="530">
        <f t="shared" si="22"/>
        <v>263</v>
      </c>
      <c r="C280" s="546">
        <f t="shared" ca="1" si="23"/>
        <v>0</v>
      </c>
      <c r="D280" s="546">
        <f t="shared" ca="1" si="24"/>
        <v>0</v>
      </c>
      <c r="E280" s="546">
        <f ca="1">IF(B280="","-",SUM($D$18:D280))</f>
        <v>0</v>
      </c>
      <c r="F280" s="546">
        <f t="shared" ca="1" si="25"/>
        <v>0</v>
      </c>
      <c r="G280" s="546">
        <f ca="1">IF(B280="","-",SUM($F$18:F280))</f>
        <v>0</v>
      </c>
      <c r="H280" s="546">
        <f t="shared" ca="1" si="26"/>
        <v>0</v>
      </c>
    </row>
    <row r="281" spans="2:8" x14ac:dyDescent="0.2">
      <c r="B281" s="530">
        <f t="shared" si="22"/>
        <v>264</v>
      </c>
      <c r="C281" s="546">
        <f t="shared" ca="1" si="23"/>
        <v>0</v>
      </c>
      <c r="D281" s="546">
        <f t="shared" ca="1" si="24"/>
        <v>0</v>
      </c>
      <c r="E281" s="546">
        <f ca="1">IF(B281="","-",SUM($D$18:D281))</f>
        <v>0</v>
      </c>
      <c r="F281" s="546">
        <f t="shared" ca="1" si="25"/>
        <v>0</v>
      </c>
      <c r="G281" s="546">
        <f ca="1">IF(B281="","-",SUM($F$18:F281))</f>
        <v>0</v>
      </c>
      <c r="H281" s="546">
        <f t="shared" ca="1" si="26"/>
        <v>0</v>
      </c>
    </row>
    <row r="282" spans="2:8" x14ac:dyDescent="0.2">
      <c r="B282" s="530">
        <f t="shared" si="22"/>
        <v>265</v>
      </c>
      <c r="C282" s="546">
        <f t="shared" ca="1" si="23"/>
        <v>0</v>
      </c>
      <c r="D282" s="546">
        <f t="shared" ca="1" si="24"/>
        <v>0</v>
      </c>
      <c r="E282" s="546">
        <f ca="1">IF(B282="","-",SUM($D$18:D282))</f>
        <v>0</v>
      </c>
      <c r="F282" s="546">
        <f t="shared" ca="1" si="25"/>
        <v>0</v>
      </c>
      <c r="G282" s="546">
        <f ca="1">IF(B282="","-",SUM($F$18:F282))</f>
        <v>0</v>
      </c>
      <c r="H282" s="546">
        <f t="shared" ca="1" si="26"/>
        <v>0</v>
      </c>
    </row>
    <row r="283" spans="2:8" x14ac:dyDescent="0.2">
      <c r="B283" s="530">
        <f t="shared" si="22"/>
        <v>266</v>
      </c>
      <c r="C283" s="546">
        <f t="shared" ca="1" si="23"/>
        <v>0</v>
      </c>
      <c r="D283" s="546">
        <f t="shared" ca="1" si="24"/>
        <v>0</v>
      </c>
      <c r="E283" s="546">
        <f ca="1">IF(B283="","-",SUM($D$18:D283))</f>
        <v>0</v>
      </c>
      <c r="F283" s="546">
        <f t="shared" ca="1" si="25"/>
        <v>0</v>
      </c>
      <c r="G283" s="546">
        <f ca="1">IF(B283="","-",SUM($F$18:F283))</f>
        <v>0</v>
      </c>
      <c r="H283" s="546">
        <f t="shared" ca="1" si="26"/>
        <v>0</v>
      </c>
    </row>
    <row r="284" spans="2:8" x14ac:dyDescent="0.2">
      <c r="B284" s="530">
        <f t="shared" si="22"/>
        <v>267</v>
      </c>
      <c r="C284" s="546">
        <f t="shared" ca="1" si="23"/>
        <v>0</v>
      </c>
      <c r="D284" s="546">
        <f t="shared" ca="1" si="24"/>
        <v>0</v>
      </c>
      <c r="E284" s="546">
        <f ca="1">IF(B284="","-",SUM($D$18:D284))</f>
        <v>0</v>
      </c>
      <c r="F284" s="546">
        <f t="shared" ca="1" si="25"/>
        <v>0</v>
      </c>
      <c r="G284" s="546">
        <f ca="1">IF(B284="","-",SUM($F$18:F284))</f>
        <v>0</v>
      </c>
      <c r="H284" s="546">
        <f t="shared" ca="1" si="26"/>
        <v>0</v>
      </c>
    </row>
    <row r="285" spans="2:8" x14ac:dyDescent="0.2">
      <c r="B285" s="530">
        <f t="shared" si="22"/>
        <v>268</v>
      </c>
      <c r="C285" s="546">
        <f t="shared" ca="1" si="23"/>
        <v>0</v>
      </c>
      <c r="D285" s="546">
        <f t="shared" ca="1" si="24"/>
        <v>0</v>
      </c>
      <c r="E285" s="546">
        <f ca="1">IF(B285="","-",SUM($D$18:D285))</f>
        <v>0</v>
      </c>
      <c r="F285" s="546">
        <f t="shared" ca="1" si="25"/>
        <v>0</v>
      </c>
      <c r="G285" s="546">
        <f ca="1">IF(B285="","-",SUM($F$18:F285))</f>
        <v>0</v>
      </c>
      <c r="H285" s="546">
        <f t="shared" ca="1" si="26"/>
        <v>0</v>
      </c>
    </row>
    <row r="286" spans="2:8" x14ac:dyDescent="0.2">
      <c r="B286" s="530">
        <f t="shared" ref="B286:B349" si="27">IF(B285&gt;=$D$5*12,"",B285+1)</f>
        <v>269</v>
      </c>
      <c r="C286" s="546">
        <f t="shared" ca="1" si="23"/>
        <v>0</v>
      </c>
      <c r="D286" s="546">
        <f t="shared" ca="1" si="24"/>
        <v>0</v>
      </c>
      <c r="E286" s="546">
        <f ca="1">IF(B286="","-",SUM($D$18:D286))</f>
        <v>0</v>
      </c>
      <c r="F286" s="546">
        <f t="shared" ca="1" si="25"/>
        <v>0</v>
      </c>
      <c r="G286" s="546">
        <f ca="1">IF(B286="","-",SUM($F$18:F286))</f>
        <v>0</v>
      </c>
      <c r="H286" s="546">
        <f t="shared" ca="1" si="26"/>
        <v>0</v>
      </c>
    </row>
    <row r="287" spans="2:8" x14ac:dyDescent="0.2">
      <c r="B287" s="530">
        <f t="shared" si="27"/>
        <v>270</v>
      </c>
      <c r="C287" s="546">
        <f t="shared" ca="1" si="23"/>
        <v>0</v>
      </c>
      <c r="D287" s="546">
        <f t="shared" ca="1" si="24"/>
        <v>0</v>
      </c>
      <c r="E287" s="546">
        <f ca="1">IF(B287="","-",SUM($D$18:D287))</f>
        <v>0</v>
      </c>
      <c r="F287" s="546">
        <f t="shared" ca="1" si="25"/>
        <v>0</v>
      </c>
      <c r="G287" s="546">
        <f ca="1">IF(B287="","-",SUM($F$18:F287))</f>
        <v>0</v>
      </c>
      <c r="H287" s="546">
        <f t="shared" ca="1" si="26"/>
        <v>0</v>
      </c>
    </row>
    <row r="288" spans="2:8" x14ac:dyDescent="0.2">
      <c r="B288" s="530">
        <f t="shared" si="27"/>
        <v>271</v>
      </c>
      <c r="C288" s="546">
        <f t="shared" ca="1" si="23"/>
        <v>0</v>
      </c>
      <c r="D288" s="546">
        <f t="shared" ca="1" si="24"/>
        <v>0</v>
      </c>
      <c r="E288" s="546">
        <f ca="1">IF(B288="","-",SUM($D$18:D288))</f>
        <v>0</v>
      </c>
      <c r="F288" s="546">
        <f t="shared" ca="1" si="25"/>
        <v>0</v>
      </c>
      <c r="G288" s="546">
        <f ca="1">IF(B288="","-",SUM($F$18:F288))</f>
        <v>0</v>
      </c>
      <c r="H288" s="546">
        <f t="shared" ca="1" si="26"/>
        <v>0</v>
      </c>
    </row>
    <row r="289" spans="2:8" x14ac:dyDescent="0.2">
      <c r="B289" s="530">
        <f t="shared" si="27"/>
        <v>272</v>
      </c>
      <c r="C289" s="546">
        <f t="shared" ca="1" si="23"/>
        <v>0</v>
      </c>
      <c r="D289" s="546">
        <f t="shared" ca="1" si="24"/>
        <v>0</v>
      </c>
      <c r="E289" s="546">
        <f ca="1">IF(B289="","-",SUM($D$18:D289))</f>
        <v>0</v>
      </c>
      <c r="F289" s="546">
        <f t="shared" ca="1" si="25"/>
        <v>0</v>
      </c>
      <c r="G289" s="546">
        <f ca="1">IF(B289="","-",SUM($F$18:F289))</f>
        <v>0</v>
      </c>
      <c r="H289" s="546">
        <f t="shared" ca="1" si="26"/>
        <v>0</v>
      </c>
    </row>
    <row r="290" spans="2:8" x14ac:dyDescent="0.2">
      <c r="B290" s="530">
        <f t="shared" si="27"/>
        <v>273</v>
      </c>
      <c r="C290" s="546">
        <f t="shared" ca="1" si="23"/>
        <v>0</v>
      </c>
      <c r="D290" s="546">
        <f t="shared" ca="1" si="24"/>
        <v>0</v>
      </c>
      <c r="E290" s="546">
        <f ca="1">IF(B290="","-",SUM($D$18:D290))</f>
        <v>0</v>
      </c>
      <c r="F290" s="546">
        <f t="shared" ca="1" si="25"/>
        <v>0</v>
      </c>
      <c r="G290" s="546">
        <f ca="1">IF(B290="","-",SUM($F$18:F290))</f>
        <v>0</v>
      </c>
      <c r="H290" s="546">
        <f t="shared" ca="1" si="26"/>
        <v>0</v>
      </c>
    </row>
    <row r="291" spans="2:8" x14ac:dyDescent="0.2">
      <c r="B291" s="530">
        <f t="shared" si="27"/>
        <v>274</v>
      </c>
      <c r="C291" s="546">
        <f t="shared" ca="1" si="23"/>
        <v>0</v>
      </c>
      <c r="D291" s="546">
        <f t="shared" ca="1" si="24"/>
        <v>0</v>
      </c>
      <c r="E291" s="546">
        <f ca="1">IF(B291="","-",SUM($D$18:D291))</f>
        <v>0</v>
      </c>
      <c r="F291" s="546">
        <f t="shared" ca="1" si="25"/>
        <v>0</v>
      </c>
      <c r="G291" s="546">
        <f ca="1">IF(B291="","-",SUM($F$18:F291))</f>
        <v>0</v>
      </c>
      <c r="H291" s="546">
        <f t="shared" ca="1" si="26"/>
        <v>0</v>
      </c>
    </row>
    <row r="292" spans="2:8" x14ac:dyDescent="0.2">
      <c r="B292" s="530">
        <f t="shared" si="27"/>
        <v>275</v>
      </c>
      <c r="C292" s="546">
        <f t="shared" ca="1" si="23"/>
        <v>0</v>
      </c>
      <c r="D292" s="546">
        <f t="shared" ca="1" si="24"/>
        <v>0</v>
      </c>
      <c r="E292" s="546">
        <f ca="1">IF(B292="","-",SUM($D$18:D292))</f>
        <v>0</v>
      </c>
      <c r="F292" s="546">
        <f t="shared" ca="1" si="25"/>
        <v>0</v>
      </c>
      <c r="G292" s="546">
        <f ca="1">IF(B292="","-",SUM($F$18:F292))</f>
        <v>0</v>
      </c>
      <c r="H292" s="546">
        <f t="shared" ca="1" si="26"/>
        <v>0</v>
      </c>
    </row>
    <row r="293" spans="2:8" x14ac:dyDescent="0.2">
      <c r="B293" s="530">
        <f t="shared" si="27"/>
        <v>276</v>
      </c>
      <c r="C293" s="546">
        <f t="shared" ca="1" si="23"/>
        <v>0</v>
      </c>
      <c r="D293" s="546">
        <f t="shared" ca="1" si="24"/>
        <v>0</v>
      </c>
      <c r="E293" s="546">
        <f ca="1">IF(B293="","-",SUM($D$18:D293))</f>
        <v>0</v>
      </c>
      <c r="F293" s="546">
        <f t="shared" ca="1" si="25"/>
        <v>0</v>
      </c>
      <c r="G293" s="546">
        <f ca="1">IF(B293="","-",SUM($F$18:F293))</f>
        <v>0</v>
      </c>
      <c r="H293" s="546">
        <f t="shared" ca="1" si="26"/>
        <v>0</v>
      </c>
    </row>
    <row r="294" spans="2:8" x14ac:dyDescent="0.2">
      <c r="B294" s="530">
        <f t="shared" si="27"/>
        <v>277</v>
      </c>
      <c r="C294" s="546">
        <f t="shared" ca="1" si="23"/>
        <v>0</v>
      </c>
      <c r="D294" s="546">
        <f t="shared" ca="1" si="24"/>
        <v>0</v>
      </c>
      <c r="E294" s="546">
        <f ca="1">IF(B294="","-",SUM($D$18:D294))</f>
        <v>0</v>
      </c>
      <c r="F294" s="546">
        <f t="shared" ca="1" si="25"/>
        <v>0</v>
      </c>
      <c r="G294" s="546">
        <f ca="1">IF(B294="","-",SUM($F$18:F294))</f>
        <v>0</v>
      </c>
      <c r="H294" s="546">
        <f t="shared" ca="1" si="26"/>
        <v>0</v>
      </c>
    </row>
    <row r="295" spans="2:8" x14ac:dyDescent="0.2">
      <c r="B295" s="530">
        <f t="shared" si="27"/>
        <v>278</v>
      </c>
      <c r="C295" s="546">
        <f t="shared" ca="1" si="23"/>
        <v>0</v>
      </c>
      <c r="D295" s="546">
        <f t="shared" ca="1" si="24"/>
        <v>0</v>
      </c>
      <c r="E295" s="546">
        <f ca="1">IF(B295="","-",SUM($D$18:D295))</f>
        <v>0</v>
      </c>
      <c r="F295" s="546">
        <f t="shared" ca="1" si="25"/>
        <v>0</v>
      </c>
      <c r="G295" s="546">
        <f ca="1">IF(B295="","-",SUM($F$18:F295))</f>
        <v>0</v>
      </c>
      <c r="H295" s="546">
        <f t="shared" ca="1" si="26"/>
        <v>0</v>
      </c>
    </row>
    <row r="296" spans="2:8" x14ac:dyDescent="0.2">
      <c r="B296" s="530">
        <f t="shared" si="27"/>
        <v>279</v>
      </c>
      <c r="C296" s="546">
        <f t="shared" ca="1" si="23"/>
        <v>0</v>
      </c>
      <c r="D296" s="546">
        <f t="shared" ca="1" si="24"/>
        <v>0</v>
      </c>
      <c r="E296" s="546">
        <f ca="1">IF(B296="","-",SUM($D$18:D296))</f>
        <v>0</v>
      </c>
      <c r="F296" s="546">
        <f t="shared" ca="1" si="25"/>
        <v>0</v>
      </c>
      <c r="G296" s="546">
        <f ca="1">IF(B296="","-",SUM($F$18:F296))</f>
        <v>0</v>
      </c>
      <c r="H296" s="546">
        <f t="shared" ca="1" si="26"/>
        <v>0</v>
      </c>
    </row>
    <row r="297" spans="2:8" x14ac:dyDescent="0.2">
      <c r="B297" s="530">
        <f t="shared" si="27"/>
        <v>280</v>
      </c>
      <c r="C297" s="546">
        <f t="shared" ca="1" si="23"/>
        <v>0</v>
      </c>
      <c r="D297" s="546">
        <f t="shared" ca="1" si="24"/>
        <v>0</v>
      </c>
      <c r="E297" s="546">
        <f ca="1">IF(B297="","-",SUM($D$18:D297))</f>
        <v>0</v>
      </c>
      <c r="F297" s="546">
        <f t="shared" ca="1" si="25"/>
        <v>0</v>
      </c>
      <c r="G297" s="546">
        <f ca="1">IF(B297="","-",SUM($F$18:F297))</f>
        <v>0</v>
      </c>
      <c r="H297" s="546">
        <f t="shared" ca="1" si="26"/>
        <v>0</v>
      </c>
    </row>
    <row r="298" spans="2:8" x14ac:dyDescent="0.2">
      <c r="B298" s="530">
        <f t="shared" si="27"/>
        <v>281</v>
      </c>
      <c r="C298" s="546">
        <f t="shared" ca="1" si="23"/>
        <v>0</v>
      </c>
      <c r="D298" s="546">
        <f t="shared" ca="1" si="24"/>
        <v>0</v>
      </c>
      <c r="E298" s="546">
        <f ca="1">IF(B298="","-",SUM($D$18:D298))</f>
        <v>0</v>
      </c>
      <c r="F298" s="546">
        <f t="shared" ca="1" si="25"/>
        <v>0</v>
      </c>
      <c r="G298" s="546">
        <f ca="1">IF(B298="","-",SUM($F$18:F298))</f>
        <v>0</v>
      </c>
      <c r="H298" s="546">
        <f t="shared" ca="1" si="26"/>
        <v>0</v>
      </c>
    </row>
    <row r="299" spans="2:8" x14ac:dyDescent="0.2">
      <c r="B299" s="530">
        <f t="shared" si="27"/>
        <v>282</v>
      </c>
      <c r="C299" s="546">
        <f t="shared" ca="1" si="23"/>
        <v>0</v>
      </c>
      <c r="D299" s="546">
        <f t="shared" ca="1" si="24"/>
        <v>0</v>
      </c>
      <c r="E299" s="546">
        <f ca="1">IF(B299="","-",SUM($D$18:D299))</f>
        <v>0</v>
      </c>
      <c r="F299" s="546">
        <f t="shared" ca="1" si="25"/>
        <v>0</v>
      </c>
      <c r="G299" s="546">
        <f ca="1">IF(B299="","-",SUM($F$18:F299))</f>
        <v>0</v>
      </c>
      <c r="H299" s="546">
        <f t="shared" ca="1" si="26"/>
        <v>0</v>
      </c>
    </row>
    <row r="300" spans="2:8" x14ac:dyDescent="0.2">
      <c r="B300" s="530">
        <f t="shared" si="27"/>
        <v>283</v>
      </c>
      <c r="C300" s="546">
        <f t="shared" ca="1" si="23"/>
        <v>0</v>
      </c>
      <c r="D300" s="546">
        <f t="shared" ca="1" si="24"/>
        <v>0</v>
      </c>
      <c r="E300" s="546">
        <f ca="1">IF(B300="","-",SUM($D$18:D300))</f>
        <v>0</v>
      </c>
      <c r="F300" s="546">
        <f t="shared" ca="1" si="25"/>
        <v>0</v>
      </c>
      <c r="G300" s="546">
        <f ca="1">IF(B300="","-",SUM($F$18:F300))</f>
        <v>0</v>
      </c>
      <c r="H300" s="546">
        <f t="shared" ca="1" si="26"/>
        <v>0</v>
      </c>
    </row>
    <row r="301" spans="2:8" x14ac:dyDescent="0.2">
      <c r="B301" s="530">
        <f t="shared" si="27"/>
        <v>284</v>
      </c>
      <c r="C301" s="546">
        <f t="shared" ca="1" si="23"/>
        <v>0</v>
      </c>
      <c r="D301" s="546">
        <f t="shared" ca="1" si="24"/>
        <v>0</v>
      </c>
      <c r="E301" s="546">
        <f ca="1">IF(B301="","-",SUM($D$18:D301))</f>
        <v>0</v>
      </c>
      <c r="F301" s="546">
        <f t="shared" ca="1" si="25"/>
        <v>0</v>
      </c>
      <c r="G301" s="546">
        <f ca="1">IF(B301="","-",SUM($F$18:F301))</f>
        <v>0</v>
      </c>
      <c r="H301" s="546">
        <f t="shared" ca="1" si="26"/>
        <v>0</v>
      </c>
    </row>
    <row r="302" spans="2:8" x14ac:dyDescent="0.2">
      <c r="B302" s="530">
        <f t="shared" si="27"/>
        <v>285</v>
      </c>
      <c r="C302" s="546">
        <f t="shared" ca="1" si="23"/>
        <v>0</v>
      </c>
      <c r="D302" s="546">
        <f t="shared" ca="1" si="24"/>
        <v>0</v>
      </c>
      <c r="E302" s="546">
        <f ca="1">IF(B302="","-",SUM($D$18:D302))</f>
        <v>0</v>
      </c>
      <c r="F302" s="546">
        <f t="shared" ca="1" si="25"/>
        <v>0</v>
      </c>
      <c r="G302" s="546">
        <f ca="1">IF(B302="","-",SUM($F$18:F302))</f>
        <v>0</v>
      </c>
      <c r="H302" s="546">
        <f t="shared" ca="1" si="26"/>
        <v>0</v>
      </c>
    </row>
    <row r="303" spans="2:8" x14ac:dyDescent="0.2">
      <c r="B303" s="530">
        <f t="shared" si="27"/>
        <v>286</v>
      </c>
      <c r="C303" s="546">
        <f t="shared" ca="1" si="23"/>
        <v>0</v>
      </c>
      <c r="D303" s="546">
        <f t="shared" ca="1" si="24"/>
        <v>0</v>
      </c>
      <c r="E303" s="546">
        <f ca="1">IF(B303="","-",SUM($D$18:D303))</f>
        <v>0</v>
      </c>
      <c r="F303" s="546">
        <f t="shared" ca="1" si="25"/>
        <v>0</v>
      </c>
      <c r="G303" s="546">
        <f ca="1">IF(B303="","-",SUM($F$18:F303))</f>
        <v>0</v>
      </c>
      <c r="H303" s="546">
        <f t="shared" ca="1" si="26"/>
        <v>0</v>
      </c>
    </row>
    <row r="304" spans="2:8" x14ac:dyDescent="0.2">
      <c r="B304" s="530">
        <f t="shared" si="27"/>
        <v>287</v>
      </c>
      <c r="C304" s="546">
        <f t="shared" ca="1" si="23"/>
        <v>0</v>
      </c>
      <c r="D304" s="546">
        <f t="shared" ca="1" si="24"/>
        <v>0</v>
      </c>
      <c r="E304" s="546">
        <f ca="1">IF(B304="","-",SUM($D$18:D304))</f>
        <v>0</v>
      </c>
      <c r="F304" s="546">
        <f t="shared" ca="1" si="25"/>
        <v>0</v>
      </c>
      <c r="G304" s="546">
        <f ca="1">IF(B304="","-",SUM($F$18:F304))</f>
        <v>0</v>
      </c>
      <c r="H304" s="546">
        <f t="shared" ca="1" si="26"/>
        <v>0</v>
      </c>
    </row>
    <row r="305" spans="2:8" x14ac:dyDescent="0.2">
      <c r="B305" s="530">
        <f t="shared" si="27"/>
        <v>288</v>
      </c>
      <c r="C305" s="546">
        <f t="shared" ca="1" si="23"/>
        <v>0</v>
      </c>
      <c r="D305" s="546">
        <f t="shared" ca="1" si="24"/>
        <v>0</v>
      </c>
      <c r="E305" s="546">
        <f ca="1">IF(B305="","-",SUM($D$18:D305))</f>
        <v>0</v>
      </c>
      <c r="F305" s="546">
        <f t="shared" ca="1" si="25"/>
        <v>0</v>
      </c>
      <c r="G305" s="546">
        <f ca="1">IF(B305="","-",SUM($F$18:F305))</f>
        <v>0</v>
      </c>
      <c r="H305" s="546">
        <f t="shared" ca="1" si="26"/>
        <v>0</v>
      </c>
    </row>
    <row r="306" spans="2:8" x14ac:dyDescent="0.2">
      <c r="B306" s="530">
        <f t="shared" si="27"/>
        <v>289</v>
      </c>
      <c r="C306" s="546">
        <f t="shared" ca="1" si="23"/>
        <v>0</v>
      </c>
      <c r="D306" s="546">
        <f t="shared" ca="1" si="24"/>
        <v>0</v>
      </c>
      <c r="E306" s="546">
        <f ca="1">IF(B306="","-",SUM($D$18:D306))</f>
        <v>0</v>
      </c>
      <c r="F306" s="546">
        <f t="shared" ca="1" si="25"/>
        <v>0</v>
      </c>
      <c r="G306" s="546">
        <f ca="1">IF(B306="","-",SUM($F$18:F306))</f>
        <v>0</v>
      </c>
      <c r="H306" s="546">
        <f t="shared" ca="1" si="26"/>
        <v>0</v>
      </c>
    </row>
    <row r="307" spans="2:8" x14ac:dyDescent="0.2">
      <c r="B307" s="530">
        <f t="shared" si="27"/>
        <v>290</v>
      </c>
      <c r="C307" s="546">
        <f t="shared" ca="1" si="23"/>
        <v>0</v>
      </c>
      <c r="D307" s="546">
        <f t="shared" ca="1" si="24"/>
        <v>0</v>
      </c>
      <c r="E307" s="546">
        <f ca="1">IF(B307="","-",SUM($D$18:D307))</f>
        <v>0</v>
      </c>
      <c r="F307" s="546">
        <f t="shared" ca="1" si="25"/>
        <v>0</v>
      </c>
      <c r="G307" s="546">
        <f ca="1">IF(B307="","-",SUM($F$18:F307))</f>
        <v>0</v>
      </c>
      <c r="H307" s="546">
        <f t="shared" ca="1" si="26"/>
        <v>0</v>
      </c>
    </row>
    <row r="308" spans="2:8" x14ac:dyDescent="0.2">
      <c r="B308" s="530">
        <f t="shared" si="27"/>
        <v>291</v>
      </c>
      <c r="C308" s="546">
        <f t="shared" ca="1" si="23"/>
        <v>0</v>
      </c>
      <c r="D308" s="546">
        <f t="shared" ca="1" si="24"/>
        <v>0</v>
      </c>
      <c r="E308" s="546">
        <f ca="1">IF(B308="","-",SUM($D$18:D308))</f>
        <v>0</v>
      </c>
      <c r="F308" s="546">
        <f t="shared" ca="1" si="25"/>
        <v>0</v>
      </c>
      <c r="G308" s="546">
        <f ca="1">IF(B308="","-",SUM($F$18:F308))</f>
        <v>0</v>
      </c>
      <c r="H308" s="546">
        <f t="shared" ca="1" si="26"/>
        <v>0</v>
      </c>
    </row>
    <row r="309" spans="2:8" x14ac:dyDescent="0.2">
      <c r="B309" s="530">
        <f t="shared" si="27"/>
        <v>292</v>
      </c>
      <c r="C309" s="546">
        <f t="shared" ca="1" si="23"/>
        <v>0</v>
      </c>
      <c r="D309" s="546">
        <f t="shared" ca="1" si="24"/>
        <v>0</v>
      </c>
      <c r="E309" s="546">
        <f ca="1">IF(B309="","-",SUM($D$18:D309))</f>
        <v>0</v>
      </c>
      <c r="F309" s="546">
        <f t="shared" ca="1" si="25"/>
        <v>0</v>
      </c>
      <c r="G309" s="546">
        <f ca="1">IF(B309="","-",SUM($F$18:F309))</f>
        <v>0</v>
      </c>
      <c r="H309" s="546">
        <f t="shared" ca="1" si="26"/>
        <v>0</v>
      </c>
    </row>
    <row r="310" spans="2:8" x14ac:dyDescent="0.2">
      <c r="B310" s="530">
        <f t="shared" si="27"/>
        <v>293</v>
      </c>
      <c r="C310" s="546">
        <f t="shared" ca="1" si="23"/>
        <v>0</v>
      </c>
      <c r="D310" s="546">
        <f t="shared" ca="1" si="24"/>
        <v>0</v>
      </c>
      <c r="E310" s="546">
        <f ca="1">IF(B310="","-",SUM($D$18:D310))</f>
        <v>0</v>
      </c>
      <c r="F310" s="546">
        <f t="shared" ca="1" si="25"/>
        <v>0</v>
      </c>
      <c r="G310" s="546">
        <f ca="1">IF(B310="","-",SUM($F$18:F310))</f>
        <v>0</v>
      </c>
      <c r="H310" s="546">
        <f t="shared" ca="1" si="26"/>
        <v>0</v>
      </c>
    </row>
    <row r="311" spans="2:8" x14ac:dyDescent="0.2">
      <c r="B311" s="530">
        <f t="shared" si="27"/>
        <v>294</v>
      </c>
      <c r="C311" s="546">
        <f t="shared" ca="1" si="23"/>
        <v>0</v>
      </c>
      <c r="D311" s="546">
        <f t="shared" ca="1" si="24"/>
        <v>0</v>
      </c>
      <c r="E311" s="546">
        <f ca="1">IF(B311="","-",SUM($D$18:D311))</f>
        <v>0</v>
      </c>
      <c r="F311" s="546">
        <f t="shared" ca="1" si="25"/>
        <v>0</v>
      </c>
      <c r="G311" s="546">
        <f ca="1">IF(B311="","-",SUM($F$18:F311))</f>
        <v>0</v>
      </c>
      <c r="H311" s="546">
        <f t="shared" ca="1" si="26"/>
        <v>0</v>
      </c>
    </row>
    <row r="312" spans="2:8" x14ac:dyDescent="0.2">
      <c r="B312" s="530">
        <f t="shared" si="27"/>
        <v>295</v>
      </c>
      <c r="C312" s="546">
        <f t="shared" ca="1" si="23"/>
        <v>0</v>
      </c>
      <c r="D312" s="546">
        <f t="shared" ca="1" si="24"/>
        <v>0</v>
      </c>
      <c r="E312" s="546">
        <f ca="1">IF(B312="","-",SUM($D$18:D312))</f>
        <v>0</v>
      </c>
      <c r="F312" s="546">
        <f t="shared" ca="1" si="25"/>
        <v>0</v>
      </c>
      <c r="G312" s="546">
        <f ca="1">IF(B312="","-",SUM($F$18:F312))</f>
        <v>0</v>
      </c>
      <c r="H312" s="546">
        <f t="shared" ca="1" si="26"/>
        <v>0</v>
      </c>
    </row>
    <row r="313" spans="2:8" x14ac:dyDescent="0.2">
      <c r="B313" s="530">
        <f t="shared" si="27"/>
        <v>296</v>
      </c>
      <c r="C313" s="546">
        <f t="shared" ca="1" si="23"/>
        <v>0</v>
      </c>
      <c r="D313" s="546">
        <f t="shared" ca="1" si="24"/>
        <v>0</v>
      </c>
      <c r="E313" s="546">
        <f ca="1">IF(B313="","-",SUM($D$18:D313))</f>
        <v>0</v>
      </c>
      <c r="F313" s="546">
        <f t="shared" ca="1" si="25"/>
        <v>0</v>
      </c>
      <c r="G313" s="546">
        <f ca="1">IF(B313="","-",SUM($F$18:F313))</f>
        <v>0</v>
      </c>
      <c r="H313" s="546">
        <f t="shared" ca="1" si="26"/>
        <v>0</v>
      </c>
    </row>
    <row r="314" spans="2:8" x14ac:dyDescent="0.2">
      <c r="B314" s="530">
        <f t="shared" si="27"/>
        <v>297</v>
      </c>
      <c r="C314" s="546">
        <f t="shared" ca="1" si="23"/>
        <v>0</v>
      </c>
      <c r="D314" s="546">
        <f t="shared" ca="1" si="24"/>
        <v>0</v>
      </c>
      <c r="E314" s="546">
        <f ca="1">IF(B314="","-",SUM($D$18:D314))</f>
        <v>0</v>
      </c>
      <c r="F314" s="546">
        <f t="shared" ca="1" si="25"/>
        <v>0</v>
      </c>
      <c r="G314" s="546">
        <f ca="1">IF(B314="","-",SUM($F$18:F314))</f>
        <v>0</v>
      </c>
      <c r="H314" s="546">
        <f t="shared" ca="1" si="26"/>
        <v>0</v>
      </c>
    </row>
    <row r="315" spans="2:8" x14ac:dyDescent="0.2">
      <c r="B315" s="530">
        <f t="shared" si="27"/>
        <v>298</v>
      </c>
      <c r="C315" s="546">
        <f t="shared" ca="1" si="23"/>
        <v>0</v>
      </c>
      <c r="D315" s="546">
        <f t="shared" ca="1" si="24"/>
        <v>0</v>
      </c>
      <c r="E315" s="546">
        <f ca="1">IF(B315="","-",SUM($D$18:D315))</f>
        <v>0</v>
      </c>
      <c r="F315" s="546">
        <f t="shared" ca="1" si="25"/>
        <v>0</v>
      </c>
      <c r="G315" s="546">
        <f ca="1">IF(B315="","-",SUM($F$18:F315))</f>
        <v>0</v>
      </c>
      <c r="H315" s="546">
        <f t="shared" ca="1" si="26"/>
        <v>0</v>
      </c>
    </row>
    <row r="316" spans="2:8" x14ac:dyDescent="0.2">
      <c r="B316" s="530">
        <f t="shared" si="27"/>
        <v>299</v>
      </c>
      <c r="C316" s="546">
        <f t="shared" ca="1" si="23"/>
        <v>0</v>
      </c>
      <c r="D316" s="546">
        <f t="shared" ca="1" si="24"/>
        <v>0</v>
      </c>
      <c r="E316" s="546">
        <f ca="1">IF(B316="","-",SUM($D$18:D316))</f>
        <v>0</v>
      </c>
      <c r="F316" s="546">
        <f t="shared" ca="1" si="25"/>
        <v>0</v>
      </c>
      <c r="G316" s="546">
        <f ca="1">IF(B316="","-",SUM($F$18:F316))</f>
        <v>0</v>
      </c>
      <c r="H316" s="546">
        <f t="shared" ca="1" si="26"/>
        <v>0</v>
      </c>
    </row>
    <row r="317" spans="2:8" x14ac:dyDescent="0.2">
      <c r="B317" s="530">
        <f t="shared" si="27"/>
        <v>300</v>
      </c>
      <c r="C317" s="546">
        <f t="shared" ca="1" si="23"/>
        <v>0</v>
      </c>
      <c r="D317" s="546">
        <f t="shared" ca="1" si="24"/>
        <v>0</v>
      </c>
      <c r="E317" s="546">
        <f ca="1">IF(B317="","-",SUM($D$18:D317))</f>
        <v>0</v>
      </c>
      <c r="F317" s="546">
        <f t="shared" ca="1" si="25"/>
        <v>0</v>
      </c>
      <c r="G317" s="546">
        <f ca="1">IF(B317="","-",SUM($F$18:F317))</f>
        <v>0</v>
      </c>
      <c r="H317" s="546">
        <f t="shared" ca="1" si="26"/>
        <v>0</v>
      </c>
    </row>
    <row r="318" spans="2:8" x14ac:dyDescent="0.2">
      <c r="B318" s="530" t="str">
        <f t="shared" si="27"/>
        <v/>
      </c>
      <c r="C318" s="546" t="str">
        <f t="shared" si="23"/>
        <v>-</v>
      </c>
      <c r="D318" s="546" t="str">
        <f t="shared" si="24"/>
        <v>-</v>
      </c>
      <c r="E318" s="546" t="str">
        <f>IF(B318="","-",SUM($D$18:D318))</f>
        <v>-</v>
      </c>
      <c r="F318" s="546" t="str">
        <f t="shared" si="25"/>
        <v>-</v>
      </c>
      <c r="G318" s="546" t="str">
        <f>IF(B318="","-",SUM($F$18:F318))</f>
        <v>-</v>
      </c>
      <c r="H318" s="546" t="str">
        <f t="shared" si="26"/>
        <v>-</v>
      </c>
    </row>
    <row r="319" spans="2:8" x14ac:dyDescent="0.2">
      <c r="B319" s="530" t="str">
        <f t="shared" si="27"/>
        <v/>
      </c>
      <c r="C319" s="546" t="str">
        <f t="shared" si="23"/>
        <v>-</v>
      </c>
      <c r="D319" s="546" t="str">
        <f t="shared" si="24"/>
        <v>-</v>
      </c>
      <c r="E319" s="546" t="str">
        <f>IF(B319="","-",SUM($D$18:D319))</f>
        <v>-</v>
      </c>
      <c r="F319" s="546" t="str">
        <f t="shared" si="25"/>
        <v>-</v>
      </c>
      <c r="G319" s="546" t="str">
        <f>IF(B319="","-",SUM($F$18:F319))</f>
        <v>-</v>
      </c>
      <c r="H319" s="546" t="str">
        <f t="shared" si="26"/>
        <v>-</v>
      </c>
    </row>
    <row r="320" spans="2:8" x14ac:dyDescent="0.2">
      <c r="B320" s="530" t="str">
        <f t="shared" si="27"/>
        <v/>
      </c>
      <c r="C320" s="546" t="str">
        <f t="shared" si="23"/>
        <v>-</v>
      </c>
      <c r="D320" s="546" t="str">
        <f t="shared" si="24"/>
        <v>-</v>
      </c>
      <c r="E320" s="546" t="str">
        <f>IF(B320="","-",SUM($D$18:D320))</f>
        <v>-</v>
      </c>
      <c r="F320" s="546" t="str">
        <f t="shared" si="25"/>
        <v>-</v>
      </c>
      <c r="G320" s="546" t="str">
        <f>IF(B320="","-",SUM($F$18:F320))</f>
        <v>-</v>
      </c>
      <c r="H320" s="546" t="str">
        <f t="shared" si="26"/>
        <v>-</v>
      </c>
    </row>
    <row r="321" spans="2:8" x14ac:dyDescent="0.2">
      <c r="B321" s="530" t="str">
        <f t="shared" si="27"/>
        <v/>
      </c>
      <c r="C321" s="546" t="str">
        <f t="shared" si="23"/>
        <v>-</v>
      </c>
      <c r="D321" s="546" t="str">
        <f t="shared" si="24"/>
        <v>-</v>
      </c>
      <c r="E321" s="546" t="str">
        <f>IF(B321="","-",SUM($D$18:D321))</f>
        <v>-</v>
      </c>
      <c r="F321" s="546" t="str">
        <f t="shared" si="25"/>
        <v>-</v>
      </c>
      <c r="G321" s="546" t="str">
        <f>IF(B321="","-",SUM($F$18:F321))</f>
        <v>-</v>
      </c>
      <c r="H321" s="546" t="str">
        <f t="shared" si="26"/>
        <v>-</v>
      </c>
    </row>
    <row r="322" spans="2:8" x14ac:dyDescent="0.2">
      <c r="B322" s="530" t="str">
        <f t="shared" si="27"/>
        <v/>
      </c>
      <c r="C322" s="546" t="str">
        <f t="shared" ref="C322:C378" si="28">IF(B322="","-",$D$7)</f>
        <v>-</v>
      </c>
      <c r="D322" s="546" t="str">
        <f t="shared" si="24"/>
        <v>-</v>
      </c>
      <c r="E322" s="546" t="str">
        <f>IF(B322="","-",SUM($D$18:D322))</f>
        <v>-</v>
      </c>
      <c r="F322" s="546" t="str">
        <f t="shared" si="25"/>
        <v>-</v>
      </c>
      <c r="G322" s="546" t="str">
        <f>IF(B322="","-",SUM($F$18:F322))</f>
        <v>-</v>
      </c>
      <c r="H322" s="546" t="str">
        <f t="shared" si="26"/>
        <v>-</v>
      </c>
    </row>
    <row r="323" spans="2:8" x14ac:dyDescent="0.2">
      <c r="B323" s="530" t="str">
        <f t="shared" si="27"/>
        <v/>
      </c>
      <c r="C323" s="546" t="str">
        <f t="shared" si="28"/>
        <v>-</v>
      </c>
      <c r="D323" s="546" t="str">
        <f t="shared" si="24"/>
        <v>-</v>
      </c>
      <c r="E323" s="546" t="str">
        <f>IF(B323="","-",SUM($D$18:D323))</f>
        <v>-</v>
      </c>
      <c r="F323" s="546" t="str">
        <f t="shared" si="25"/>
        <v>-</v>
      </c>
      <c r="G323" s="546" t="str">
        <f>IF(B323="","-",SUM($F$18:F323))</f>
        <v>-</v>
      </c>
      <c r="H323" s="546" t="str">
        <f t="shared" si="26"/>
        <v>-</v>
      </c>
    </row>
    <row r="324" spans="2:8" x14ac:dyDescent="0.2">
      <c r="B324" s="530" t="str">
        <f t="shared" si="27"/>
        <v/>
      </c>
      <c r="C324" s="546" t="str">
        <f t="shared" si="28"/>
        <v>-</v>
      </c>
      <c r="D324" s="546" t="str">
        <f t="shared" si="24"/>
        <v>-</v>
      </c>
      <c r="E324" s="546" t="str">
        <f>IF(B324="","-",SUM($D$18:D324))</f>
        <v>-</v>
      </c>
      <c r="F324" s="546" t="str">
        <f t="shared" si="25"/>
        <v>-</v>
      </c>
      <c r="G324" s="546" t="str">
        <f>IF(B324="","-",SUM($F$18:F324))</f>
        <v>-</v>
      </c>
      <c r="H324" s="546" t="str">
        <f t="shared" si="26"/>
        <v>-</v>
      </c>
    </row>
    <row r="325" spans="2:8" x14ac:dyDescent="0.2">
      <c r="B325" s="530" t="str">
        <f t="shared" si="27"/>
        <v/>
      </c>
      <c r="C325" s="546" t="str">
        <f t="shared" si="28"/>
        <v>-</v>
      </c>
      <c r="D325" s="546" t="str">
        <f t="shared" si="24"/>
        <v>-</v>
      </c>
      <c r="E325" s="546" t="str">
        <f>IF(B325="","-",SUM($D$18:D325))</f>
        <v>-</v>
      </c>
      <c r="F325" s="546" t="str">
        <f t="shared" si="25"/>
        <v>-</v>
      </c>
      <c r="G325" s="546" t="str">
        <f>IF(B325="","-",SUM($F$18:F325))</f>
        <v>-</v>
      </c>
      <c r="H325" s="546" t="str">
        <f t="shared" si="26"/>
        <v>-</v>
      </c>
    </row>
    <row r="326" spans="2:8" x14ac:dyDescent="0.2">
      <c r="B326" s="530" t="str">
        <f t="shared" si="27"/>
        <v/>
      </c>
      <c r="C326" s="546" t="str">
        <f t="shared" si="28"/>
        <v>-</v>
      </c>
      <c r="D326" s="546" t="str">
        <f t="shared" si="24"/>
        <v>-</v>
      </c>
      <c r="E326" s="546" t="str">
        <f>IF(B326="","-",SUM($D$18:D326))</f>
        <v>-</v>
      </c>
      <c r="F326" s="546" t="str">
        <f t="shared" si="25"/>
        <v>-</v>
      </c>
      <c r="G326" s="546" t="str">
        <f>IF(B326="","-",SUM($F$18:F326))</f>
        <v>-</v>
      </c>
      <c r="H326" s="546" t="str">
        <f t="shared" si="26"/>
        <v>-</v>
      </c>
    </row>
    <row r="327" spans="2:8" x14ac:dyDescent="0.2">
      <c r="B327" s="530" t="str">
        <f t="shared" si="27"/>
        <v/>
      </c>
      <c r="C327" s="546" t="str">
        <f t="shared" si="28"/>
        <v>-</v>
      </c>
      <c r="D327" s="546" t="str">
        <f t="shared" si="24"/>
        <v>-</v>
      </c>
      <c r="E327" s="546" t="str">
        <f>IF(B327="","-",SUM($D$18:D327))</f>
        <v>-</v>
      </c>
      <c r="F327" s="546" t="str">
        <f t="shared" si="25"/>
        <v>-</v>
      </c>
      <c r="G327" s="546" t="str">
        <f>IF(B327="","-",SUM($F$18:F327))</f>
        <v>-</v>
      </c>
      <c r="H327" s="546" t="str">
        <f t="shared" si="26"/>
        <v>-</v>
      </c>
    </row>
    <row r="328" spans="2:8" x14ac:dyDescent="0.2">
      <c r="B328" s="530" t="str">
        <f t="shared" si="27"/>
        <v/>
      </c>
      <c r="C328" s="546" t="str">
        <f t="shared" si="28"/>
        <v>-</v>
      </c>
      <c r="D328" s="546" t="str">
        <f t="shared" si="24"/>
        <v>-</v>
      </c>
      <c r="E328" s="546" t="str">
        <f>IF(B328="","-",SUM($D$18:D328))</f>
        <v>-</v>
      </c>
      <c r="F328" s="546" t="str">
        <f t="shared" si="25"/>
        <v>-</v>
      </c>
      <c r="G328" s="546" t="str">
        <f>IF(B328="","-",SUM($F$18:F328))</f>
        <v>-</v>
      </c>
      <c r="H328" s="546" t="str">
        <f t="shared" si="26"/>
        <v>-</v>
      </c>
    </row>
    <row r="329" spans="2:8" x14ac:dyDescent="0.2">
      <c r="B329" s="530" t="str">
        <f t="shared" si="27"/>
        <v/>
      </c>
      <c r="C329" s="546" t="str">
        <f t="shared" si="28"/>
        <v>-</v>
      </c>
      <c r="D329" s="546" t="str">
        <f t="shared" si="24"/>
        <v>-</v>
      </c>
      <c r="E329" s="546" t="str">
        <f>IF(B329="","-",SUM($D$18:D329))</f>
        <v>-</v>
      </c>
      <c r="F329" s="546" t="str">
        <f t="shared" si="25"/>
        <v>-</v>
      </c>
      <c r="G329" s="546" t="str">
        <f>IF(B329="","-",SUM($F$18:F329))</f>
        <v>-</v>
      </c>
      <c r="H329" s="546" t="str">
        <f t="shared" si="26"/>
        <v>-</v>
      </c>
    </row>
    <row r="330" spans="2:8" x14ac:dyDescent="0.2">
      <c r="B330" s="530" t="str">
        <f t="shared" si="27"/>
        <v/>
      </c>
      <c r="C330" s="546" t="str">
        <f t="shared" si="28"/>
        <v>-</v>
      </c>
      <c r="D330" s="546" t="str">
        <f t="shared" si="24"/>
        <v>-</v>
      </c>
      <c r="E330" s="546" t="str">
        <f>IF(B330="","-",SUM($D$18:D330))</f>
        <v>-</v>
      </c>
      <c r="F330" s="546" t="str">
        <f t="shared" si="25"/>
        <v>-</v>
      </c>
      <c r="G330" s="546" t="str">
        <f>IF(B330="","-",SUM($F$18:F330))</f>
        <v>-</v>
      </c>
      <c r="H330" s="546" t="str">
        <f t="shared" si="26"/>
        <v>-</v>
      </c>
    </row>
    <row r="331" spans="2:8" x14ac:dyDescent="0.2">
      <c r="B331" s="530" t="str">
        <f t="shared" si="27"/>
        <v/>
      </c>
      <c r="C331" s="546" t="str">
        <f t="shared" si="28"/>
        <v>-</v>
      </c>
      <c r="D331" s="546" t="str">
        <f t="shared" si="24"/>
        <v>-</v>
      </c>
      <c r="E331" s="546" t="str">
        <f>IF(B331="","-",SUM($D$18:D331))</f>
        <v>-</v>
      </c>
      <c r="F331" s="546" t="str">
        <f t="shared" si="25"/>
        <v>-</v>
      </c>
      <c r="G331" s="546" t="str">
        <f>IF(B331="","-",SUM($F$18:F331))</f>
        <v>-</v>
      </c>
      <c r="H331" s="546" t="str">
        <f t="shared" si="26"/>
        <v>-</v>
      </c>
    </row>
    <row r="332" spans="2:8" x14ac:dyDescent="0.2">
      <c r="B332" s="530" t="str">
        <f t="shared" si="27"/>
        <v/>
      </c>
      <c r="C332" s="546" t="str">
        <f t="shared" si="28"/>
        <v>-</v>
      </c>
      <c r="D332" s="546" t="str">
        <f t="shared" si="24"/>
        <v>-</v>
      </c>
      <c r="E332" s="546" t="str">
        <f>IF(B332="","-",SUM($D$18:D332))</f>
        <v>-</v>
      </c>
      <c r="F332" s="546" t="str">
        <f t="shared" si="25"/>
        <v>-</v>
      </c>
      <c r="G332" s="546" t="str">
        <f>IF(B332="","-",SUM($F$18:F332))</f>
        <v>-</v>
      </c>
      <c r="H332" s="546" t="str">
        <f t="shared" si="26"/>
        <v>-</v>
      </c>
    </row>
    <row r="333" spans="2:8" x14ac:dyDescent="0.2">
      <c r="B333" s="530" t="str">
        <f t="shared" si="27"/>
        <v/>
      </c>
      <c r="C333" s="546" t="str">
        <f t="shared" si="28"/>
        <v>-</v>
      </c>
      <c r="D333" s="546" t="str">
        <f t="shared" si="24"/>
        <v>-</v>
      </c>
      <c r="E333" s="546" t="str">
        <f>IF(B333="","-",SUM($D$18:D333))</f>
        <v>-</v>
      </c>
      <c r="F333" s="546" t="str">
        <f t="shared" si="25"/>
        <v>-</v>
      </c>
      <c r="G333" s="546" t="str">
        <f>IF(B333="","-",SUM($F$18:F333))</f>
        <v>-</v>
      </c>
      <c r="H333" s="546" t="str">
        <f t="shared" si="26"/>
        <v>-</v>
      </c>
    </row>
    <row r="334" spans="2:8" x14ac:dyDescent="0.2">
      <c r="B334" s="530" t="str">
        <f t="shared" si="27"/>
        <v/>
      </c>
      <c r="C334" s="546" t="str">
        <f t="shared" si="28"/>
        <v>-</v>
      </c>
      <c r="D334" s="546" t="str">
        <f t="shared" si="24"/>
        <v>-</v>
      </c>
      <c r="E334" s="546" t="str">
        <f>IF(B334="","-",SUM($D$18:D334))</f>
        <v>-</v>
      </c>
      <c r="F334" s="546" t="str">
        <f t="shared" si="25"/>
        <v>-</v>
      </c>
      <c r="G334" s="546" t="str">
        <f>IF(B334="","-",SUM($F$18:F334))</f>
        <v>-</v>
      </c>
      <c r="H334" s="546" t="str">
        <f t="shared" si="26"/>
        <v>-</v>
      </c>
    </row>
    <row r="335" spans="2:8" x14ac:dyDescent="0.2">
      <c r="B335" s="530" t="str">
        <f t="shared" si="27"/>
        <v/>
      </c>
      <c r="C335" s="546" t="str">
        <f t="shared" si="28"/>
        <v>-</v>
      </c>
      <c r="D335" s="546" t="str">
        <f t="shared" si="24"/>
        <v>-</v>
      </c>
      <c r="E335" s="546" t="str">
        <f>IF(B335="","-",SUM($D$18:D335))</f>
        <v>-</v>
      </c>
      <c r="F335" s="546" t="str">
        <f t="shared" si="25"/>
        <v>-</v>
      </c>
      <c r="G335" s="546" t="str">
        <f>IF(B335="","-",SUM($F$18:F335))</f>
        <v>-</v>
      </c>
      <c r="H335" s="546" t="str">
        <f t="shared" si="26"/>
        <v>-</v>
      </c>
    </row>
    <row r="336" spans="2:8" x14ac:dyDescent="0.2">
      <c r="B336" s="530" t="str">
        <f t="shared" si="27"/>
        <v/>
      </c>
      <c r="C336" s="546" t="str">
        <f t="shared" si="28"/>
        <v>-</v>
      </c>
      <c r="D336" s="546" t="str">
        <f t="shared" si="24"/>
        <v>-</v>
      </c>
      <c r="E336" s="546" t="str">
        <f>IF(B336="","-",SUM($D$18:D336))</f>
        <v>-</v>
      </c>
      <c r="F336" s="546" t="str">
        <f t="shared" si="25"/>
        <v>-</v>
      </c>
      <c r="G336" s="546" t="str">
        <f>IF(B336="","-",SUM($F$18:F336))</f>
        <v>-</v>
      </c>
      <c r="H336" s="546" t="str">
        <f t="shared" si="26"/>
        <v>-</v>
      </c>
    </row>
    <row r="337" spans="2:8" x14ac:dyDescent="0.2">
      <c r="B337" s="530" t="str">
        <f t="shared" si="27"/>
        <v/>
      </c>
      <c r="C337" s="546" t="str">
        <f t="shared" si="28"/>
        <v>-</v>
      </c>
      <c r="D337" s="546" t="str">
        <f t="shared" si="24"/>
        <v>-</v>
      </c>
      <c r="E337" s="546" t="str">
        <f>IF(B337="","-",SUM($D$18:D337))</f>
        <v>-</v>
      </c>
      <c r="F337" s="546" t="str">
        <f t="shared" si="25"/>
        <v>-</v>
      </c>
      <c r="G337" s="546" t="str">
        <f>IF(B337="","-",SUM($F$18:F337))</f>
        <v>-</v>
      </c>
      <c r="H337" s="546" t="str">
        <f t="shared" si="26"/>
        <v>-</v>
      </c>
    </row>
    <row r="338" spans="2:8" x14ac:dyDescent="0.2">
      <c r="B338" s="530" t="str">
        <f t="shared" si="27"/>
        <v/>
      </c>
      <c r="C338" s="546" t="str">
        <f t="shared" si="28"/>
        <v>-</v>
      </c>
      <c r="D338" s="546" t="str">
        <f t="shared" ref="D338:D378" si="29">IF(B338="","-",$D$4/12*H337)</f>
        <v>-</v>
      </c>
      <c r="E338" s="546" t="str">
        <f>IF(B338="","-",SUM($D$18:D338))</f>
        <v>-</v>
      </c>
      <c r="F338" s="546" t="str">
        <f t="shared" ref="F338:F378" si="30">IF(B338="","-",C338-D338)</f>
        <v>-</v>
      </c>
      <c r="G338" s="546" t="str">
        <f>IF(B338="","-",SUM($F$18:F338))</f>
        <v>-</v>
      </c>
      <c r="H338" s="546" t="str">
        <f t="shared" ref="H338:H378" si="31">IF(B338="","-",H337-F338)</f>
        <v>-</v>
      </c>
    </row>
    <row r="339" spans="2:8" x14ac:dyDescent="0.2">
      <c r="B339" s="530" t="str">
        <f t="shared" si="27"/>
        <v/>
      </c>
      <c r="C339" s="546" t="str">
        <f t="shared" si="28"/>
        <v>-</v>
      </c>
      <c r="D339" s="546" t="str">
        <f t="shared" si="29"/>
        <v>-</v>
      </c>
      <c r="E339" s="546" t="str">
        <f>IF(B339="","-",SUM($D$18:D339))</f>
        <v>-</v>
      </c>
      <c r="F339" s="546" t="str">
        <f t="shared" si="30"/>
        <v>-</v>
      </c>
      <c r="G339" s="546" t="str">
        <f>IF(B339="","-",SUM($F$18:F339))</f>
        <v>-</v>
      </c>
      <c r="H339" s="546" t="str">
        <f t="shared" si="31"/>
        <v>-</v>
      </c>
    </row>
    <row r="340" spans="2:8" x14ac:dyDescent="0.2">
      <c r="B340" s="530" t="str">
        <f t="shared" si="27"/>
        <v/>
      </c>
      <c r="C340" s="546" t="str">
        <f t="shared" si="28"/>
        <v>-</v>
      </c>
      <c r="D340" s="546" t="str">
        <f t="shared" si="29"/>
        <v>-</v>
      </c>
      <c r="E340" s="546" t="str">
        <f>IF(B340="","-",SUM($D$18:D340))</f>
        <v>-</v>
      </c>
      <c r="F340" s="546" t="str">
        <f t="shared" si="30"/>
        <v>-</v>
      </c>
      <c r="G340" s="546" t="str">
        <f>IF(B340="","-",SUM($F$18:F340))</f>
        <v>-</v>
      </c>
      <c r="H340" s="546" t="str">
        <f t="shared" si="31"/>
        <v>-</v>
      </c>
    </row>
    <row r="341" spans="2:8" x14ac:dyDescent="0.2">
      <c r="B341" s="530" t="str">
        <f t="shared" si="27"/>
        <v/>
      </c>
      <c r="C341" s="546" t="str">
        <f t="shared" si="28"/>
        <v>-</v>
      </c>
      <c r="D341" s="546" t="str">
        <f t="shared" si="29"/>
        <v>-</v>
      </c>
      <c r="E341" s="546" t="str">
        <f>IF(B341="","-",SUM($D$18:D341))</f>
        <v>-</v>
      </c>
      <c r="F341" s="546" t="str">
        <f t="shared" si="30"/>
        <v>-</v>
      </c>
      <c r="G341" s="546" t="str">
        <f>IF(B341="","-",SUM($F$18:F341))</f>
        <v>-</v>
      </c>
      <c r="H341" s="546" t="str">
        <f t="shared" si="31"/>
        <v>-</v>
      </c>
    </row>
    <row r="342" spans="2:8" x14ac:dyDescent="0.2">
      <c r="B342" s="530" t="str">
        <f t="shared" si="27"/>
        <v/>
      </c>
      <c r="C342" s="546" t="str">
        <f t="shared" si="28"/>
        <v>-</v>
      </c>
      <c r="D342" s="546" t="str">
        <f t="shared" si="29"/>
        <v>-</v>
      </c>
      <c r="E342" s="546" t="str">
        <f>IF(B342="","-",SUM($D$18:D342))</f>
        <v>-</v>
      </c>
      <c r="F342" s="546" t="str">
        <f t="shared" si="30"/>
        <v>-</v>
      </c>
      <c r="G342" s="546" t="str">
        <f>IF(B342="","-",SUM($F$18:F342))</f>
        <v>-</v>
      </c>
      <c r="H342" s="546" t="str">
        <f t="shared" si="31"/>
        <v>-</v>
      </c>
    </row>
    <row r="343" spans="2:8" x14ac:dyDescent="0.2">
      <c r="B343" s="530" t="str">
        <f t="shared" si="27"/>
        <v/>
      </c>
      <c r="C343" s="546" t="str">
        <f t="shared" si="28"/>
        <v>-</v>
      </c>
      <c r="D343" s="546" t="str">
        <f t="shared" si="29"/>
        <v>-</v>
      </c>
      <c r="E343" s="546" t="str">
        <f>IF(B343="","-",SUM($D$18:D343))</f>
        <v>-</v>
      </c>
      <c r="F343" s="546" t="str">
        <f t="shared" si="30"/>
        <v>-</v>
      </c>
      <c r="G343" s="546" t="str">
        <f>IF(B343="","-",SUM($F$18:F343))</f>
        <v>-</v>
      </c>
      <c r="H343" s="546" t="str">
        <f t="shared" si="31"/>
        <v>-</v>
      </c>
    </row>
    <row r="344" spans="2:8" x14ac:dyDescent="0.2">
      <c r="B344" s="530" t="str">
        <f t="shared" si="27"/>
        <v/>
      </c>
      <c r="C344" s="546" t="str">
        <f t="shared" si="28"/>
        <v>-</v>
      </c>
      <c r="D344" s="546" t="str">
        <f t="shared" si="29"/>
        <v>-</v>
      </c>
      <c r="E344" s="546" t="str">
        <f>IF(B344="","-",SUM($D$18:D344))</f>
        <v>-</v>
      </c>
      <c r="F344" s="546" t="str">
        <f t="shared" si="30"/>
        <v>-</v>
      </c>
      <c r="G344" s="546" t="str">
        <f>IF(B344="","-",SUM($F$18:F344))</f>
        <v>-</v>
      </c>
      <c r="H344" s="546" t="str">
        <f t="shared" si="31"/>
        <v>-</v>
      </c>
    </row>
    <row r="345" spans="2:8" x14ac:dyDescent="0.2">
      <c r="B345" s="530" t="str">
        <f t="shared" si="27"/>
        <v/>
      </c>
      <c r="C345" s="546" t="str">
        <f t="shared" si="28"/>
        <v>-</v>
      </c>
      <c r="D345" s="546" t="str">
        <f t="shared" si="29"/>
        <v>-</v>
      </c>
      <c r="E345" s="546" t="str">
        <f>IF(B345="","-",SUM($D$18:D345))</f>
        <v>-</v>
      </c>
      <c r="F345" s="546" t="str">
        <f t="shared" si="30"/>
        <v>-</v>
      </c>
      <c r="G345" s="546" t="str">
        <f>IF(B345="","-",SUM($F$18:F345))</f>
        <v>-</v>
      </c>
      <c r="H345" s="546" t="str">
        <f t="shared" si="31"/>
        <v>-</v>
      </c>
    </row>
    <row r="346" spans="2:8" x14ac:dyDescent="0.2">
      <c r="B346" s="530" t="str">
        <f t="shared" si="27"/>
        <v/>
      </c>
      <c r="C346" s="546" t="str">
        <f t="shared" si="28"/>
        <v>-</v>
      </c>
      <c r="D346" s="546" t="str">
        <f t="shared" si="29"/>
        <v>-</v>
      </c>
      <c r="E346" s="546" t="str">
        <f>IF(B346="","-",SUM($D$18:D346))</f>
        <v>-</v>
      </c>
      <c r="F346" s="546" t="str">
        <f t="shared" si="30"/>
        <v>-</v>
      </c>
      <c r="G346" s="546" t="str">
        <f>IF(B346="","-",SUM($F$18:F346))</f>
        <v>-</v>
      </c>
      <c r="H346" s="546" t="str">
        <f t="shared" si="31"/>
        <v>-</v>
      </c>
    </row>
    <row r="347" spans="2:8" x14ac:dyDescent="0.2">
      <c r="B347" s="530" t="str">
        <f t="shared" si="27"/>
        <v/>
      </c>
      <c r="C347" s="546" t="str">
        <f t="shared" si="28"/>
        <v>-</v>
      </c>
      <c r="D347" s="546" t="str">
        <f t="shared" si="29"/>
        <v>-</v>
      </c>
      <c r="E347" s="546" t="str">
        <f>IF(B347="","-",SUM($D$18:D347))</f>
        <v>-</v>
      </c>
      <c r="F347" s="546" t="str">
        <f t="shared" si="30"/>
        <v>-</v>
      </c>
      <c r="G347" s="546" t="str">
        <f>IF(B347="","-",SUM($F$18:F347))</f>
        <v>-</v>
      </c>
      <c r="H347" s="546" t="str">
        <f t="shared" si="31"/>
        <v>-</v>
      </c>
    </row>
    <row r="348" spans="2:8" x14ac:dyDescent="0.2">
      <c r="B348" s="530" t="str">
        <f t="shared" si="27"/>
        <v/>
      </c>
      <c r="C348" s="546" t="str">
        <f t="shared" si="28"/>
        <v>-</v>
      </c>
      <c r="D348" s="546" t="str">
        <f t="shared" si="29"/>
        <v>-</v>
      </c>
      <c r="E348" s="546" t="str">
        <f>IF(B348="","-",SUM($D$18:D348))</f>
        <v>-</v>
      </c>
      <c r="F348" s="546" t="str">
        <f t="shared" si="30"/>
        <v>-</v>
      </c>
      <c r="G348" s="546" t="str">
        <f>IF(B348="","-",SUM($F$18:F348))</f>
        <v>-</v>
      </c>
      <c r="H348" s="546" t="str">
        <f t="shared" si="31"/>
        <v>-</v>
      </c>
    </row>
    <row r="349" spans="2:8" x14ac:dyDescent="0.2">
      <c r="B349" s="530" t="str">
        <f t="shared" si="27"/>
        <v/>
      </c>
      <c r="C349" s="546" t="str">
        <f t="shared" si="28"/>
        <v>-</v>
      </c>
      <c r="D349" s="546" t="str">
        <f t="shared" si="29"/>
        <v>-</v>
      </c>
      <c r="E349" s="546" t="str">
        <f>IF(B349="","-",SUM($D$18:D349))</f>
        <v>-</v>
      </c>
      <c r="F349" s="546" t="str">
        <f t="shared" si="30"/>
        <v>-</v>
      </c>
      <c r="G349" s="546" t="str">
        <f>IF(B349="","-",SUM($F$18:F349))</f>
        <v>-</v>
      </c>
      <c r="H349" s="546" t="str">
        <f t="shared" si="31"/>
        <v>-</v>
      </c>
    </row>
    <row r="350" spans="2:8" x14ac:dyDescent="0.2">
      <c r="B350" s="530" t="str">
        <f t="shared" ref="B350:B377" si="32">IF(B349&gt;=$D$5*12,"",B349+1)</f>
        <v/>
      </c>
      <c r="C350" s="546" t="str">
        <f t="shared" si="28"/>
        <v>-</v>
      </c>
      <c r="D350" s="546" t="str">
        <f t="shared" si="29"/>
        <v>-</v>
      </c>
      <c r="E350" s="546" t="str">
        <f>IF(B350="","-",SUM($D$18:D350))</f>
        <v>-</v>
      </c>
      <c r="F350" s="546" t="str">
        <f t="shared" si="30"/>
        <v>-</v>
      </c>
      <c r="G350" s="546" t="str">
        <f>IF(B350="","-",SUM($F$18:F350))</f>
        <v>-</v>
      </c>
      <c r="H350" s="546" t="str">
        <f t="shared" si="31"/>
        <v>-</v>
      </c>
    </row>
    <row r="351" spans="2:8" x14ac:dyDescent="0.2">
      <c r="B351" s="530" t="str">
        <f t="shared" si="32"/>
        <v/>
      </c>
      <c r="C351" s="546" t="str">
        <f t="shared" si="28"/>
        <v>-</v>
      </c>
      <c r="D351" s="546" t="str">
        <f t="shared" si="29"/>
        <v>-</v>
      </c>
      <c r="E351" s="546" t="str">
        <f>IF(B351="","-",SUM($D$18:D351))</f>
        <v>-</v>
      </c>
      <c r="F351" s="546" t="str">
        <f t="shared" si="30"/>
        <v>-</v>
      </c>
      <c r="G351" s="546" t="str">
        <f>IF(B351="","-",SUM($F$18:F351))</f>
        <v>-</v>
      </c>
      <c r="H351" s="546" t="str">
        <f t="shared" si="31"/>
        <v>-</v>
      </c>
    </row>
    <row r="352" spans="2:8" x14ac:dyDescent="0.2">
      <c r="B352" s="530" t="str">
        <f t="shared" si="32"/>
        <v/>
      </c>
      <c r="C352" s="546" t="str">
        <f t="shared" si="28"/>
        <v>-</v>
      </c>
      <c r="D352" s="546" t="str">
        <f t="shared" si="29"/>
        <v>-</v>
      </c>
      <c r="E352" s="546" t="str">
        <f>IF(B352="","-",SUM($D$18:D352))</f>
        <v>-</v>
      </c>
      <c r="F352" s="546" t="str">
        <f t="shared" si="30"/>
        <v>-</v>
      </c>
      <c r="G352" s="546" t="str">
        <f>IF(B352="","-",SUM($F$18:F352))</f>
        <v>-</v>
      </c>
      <c r="H352" s="546" t="str">
        <f t="shared" si="31"/>
        <v>-</v>
      </c>
    </row>
    <row r="353" spans="2:8" x14ac:dyDescent="0.2">
      <c r="B353" s="530" t="str">
        <f t="shared" si="32"/>
        <v/>
      </c>
      <c r="C353" s="546" t="str">
        <f t="shared" si="28"/>
        <v>-</v>
      </c>
      <c r="D353" s="546" t="str">
        <f t="shared" si="29"/>
        <v>-</v>
      </c>
      <c r="E353" s="546" t="str">
        <f>IF(B353="","-",SUM($D$18:D353))</f>
        <v>-</v>
      </c>
      <c r="F353" s="546" t="str">
        <f t="shared" si="30"/>
        <v>-</v>
      </c>
      <c r="G353" s="546" t="str">
        <f>IF(B353="","-",SUM($F$18:F353))</f>
        <v>-</v>
      </c>
      <c r="H353" s="546" t="str">
        <f t="shared" si="31"/>
        <v>-</v>
      </c>
    </row>
    <row r="354" spans="2:8" x14ac:dyDescent="0.2">
      <c r="B354" s="530" t="str">
        <f t="shared" si="32"/>
        <v/>
      </c>
      <c r="C354" s="546" t="str">
        <f t="shared" si="28"/>
        <v>-</v>
      </c>
      <c r="D354" s="546" t="str">
        <f t="shared" si="29"/>
        <v>-</v>
      </c>
      <c r="E354" s="546" t="str">
        <f>IF(B354="","-",SUM($D$18:D354))</f>
        <v>-</v>
      </c>
      <c r="F354" s="546" t="str">
        <f t="shared" si="30"/>
        <v>-</v>
      </c>
      <c r="G354" s="546" t="str">
        <f>IF(B354="","-",SUM($F$18:F354))</f>
        <v>-</v>
      </c>
      <c r="H354" s="546" t="str">
        <f t="shared" si="31"/>
        <v>-</v>
      </c>
    </row>
    <row r="355" spans="2:8" x14ac:dyDescent="0.2">
      <c r="B355" s="530" t="str">
        <f t="shared" si="32"/>
        <v/>
      </c>
      <c r="C355" s="546" t="str">
        <f t="shared" si="28"/>
        <v>-</v>
      </c>
      <c r="D355" s="546" t="str">
        <f t="shared" si="29"/>
        <v>-</v>
      </c>
      <c r="E355" s="546" t="str">
        <f>IF(B355="","-",SUM($D$18:D355))</f>
        <v>-</v>
      </c>
      <c r="F355" s="546" t="str">
        <f t="shared" si="30"/>
        <v>-</v>
      </c>
      <c r="G355" s="546" t="str">
        <f>IF(B355="","-",SUM($F$18:F355))</f>
        <v>-</v>
      </c>
      <c r="H355" s="546" t="str">
        <f t="shared" si="31"/>
        <v>-</v>
      </c>
    </row>
    <row r="356" spans="2:8" x14ac:dyDescent="0.2">
      <c r="B356" s="530" t="str">
        <f t="shared" si="32"/>
        <v/>
      </c>
      <c r="C356" s="546" t="str">
        <f t="shared" si="28"/>
        <v>-</v>
      </c>
      <c r="D356" s="546" t="str">
        <f t="shared" si="29"/>
        <v>-</v>
      </c>
      <c r="E356" s="546" t="str">
        <f>IF(B356="","-",SUM($D$18:D356))</f>
        <v>-</v>
      </c>
      <c r="F356" s="546" t="str">
        <f t="shared" si="30"/>
        <v>-</v>
      </c>
      <c r="G356" s="546" t="str">
        <f>IF(B356="","-",SUM($F$18:F356))</f>
        <v>-</v>
      </c>
      <c r="H356" s="546" t="str">
        <f t="shared" si="31"/>
        <v>-</v>
      </c>
    </row>
    <row r="357" spans="2:8" x14ac:dyDescent="0.2">
      <c r="B357" s="530" t="str">
        <f t="shared" si="32"/>
        <v/>
      </c>
      <c r="C357" s="546" t="str">
        <f t="shared" si="28"/>
        <v>-</v>
      </c>
      <c r="D357" s="546" t="str">
        <f t="shared" si="29"/>
        <v>-</v>
      </c>
      <c r="E357" s="546" t="str">
        <f>IF(B357="","-",SUM($D$18:D357))</f>
        <v>-</v>
      </c>
      <c r="F357" s="546" t="str">
        <f t="shared" si="30"/>
        <v>-</v>
      </c>
      <c r="G357" s="546" t="str">
        <f>IF(B357="","-",SUM($F$18:F357))</f>
        <v>-</v>
      </c>
      <c r="H357" s="546" t="str">
        <f t="shared" si="31"/>
        <v>-</v>
      </c>
    </row>
    <row r="358" spans="2:8" x14ac:dyDescent="0.2">
      <c r="B358" s="530" t="str">
        <f t="shared" si="32"/>
        <v/>
      </c>
      <c r="C358" s="546" t="str">
        <f t="shared" si="28"/>
        <v>-</v>
      </c>
      <c r="D358" s="546" t="str">
        <f t="shared" si="29"/>
        <v>-</v>
      </c>
      <c r="E358" s="546" t="str">
        <f>IF(B358="","-",SUM($D$18:D358))</f>
        <v>-</v>
      </c>
      <c r="F358" s="546" t="str">
        <f t="shared" si="30"/>
        <v>-</v>
      </c>
      <c r="G358" s="546" t="str">
        <f>IF(B358="","-",SUM($F$18:F358))</f>
        <v>-</v>
      </c>
      <c r="H358" s="546" t="str">
        <f t="shared" si="31"/>
        <v>-</v>
      </c>
    </row>
    <row r="359" spans="2:8" x14ac:dyDescent="0.2">
      <c r="B359" s="530" t="str">
        <f t="shared" si="32"/>
        <v/>
      </c>
      <c r="C359" s="546" t="str">
        <f t="shared" si="28"/>
        <v>-</v>
      </c>
      <c r="D359" s="546" t="str">
        <f t="shared" si="29"/>
        <v>-</v>
      </c>
      <c r="E359" s="546" t="str">
        <f>IF(B359="","-",SUM($D$18:D359))</f>
        <v>-</v>
      </c>
      <c r="F359" s="546" t="str">
        <f t="shared" si="30"/>
        <v>-</v>
      </c>
      <c r="G359" s="546" t="str">
        <f>IF(B359="","-",SUM($F$18:F359))</f>
        <v>-</v>
      </c>
      <c r="H359" s="546" t="str">
        <f t="shared" si="31"/>
        <v>-</v>
      </c>
    </row>
    <row r="360" spans="2:8" x14ac:dyDescent="0.2">
      <c r="B360" s="530" t="str">
        <f t="shared" si="32"/>
        <v/>
      </c>
      <c r="C360" s="546" t="str">
        <f t="shared" si="28"/>
        <v>-</v>
      </c>
      <c r="D360" s="546" t="str">
        <f t="shared" si="29"/>
        <v>-</v>
      </c>
      <c r="E360" s="546" t="str">
        <f>IF(B360="","-",SUM($D$18:D360))</f>
        <v>-</v>
      </c>
      <c r="F360" s="546" t="str">
        <f t="shared" si="30"/>
        <v>-</v>
      </c>
      <c r="G360" s="546" t="str">
        <f>IF(B360="","-",SUM($F$18:F360))</f>
        <v>-</v>
      </c>
      <c r="H360" s="546" t="str">
        <f t="shared" si="31"/>
        <v>-</v>
      </c>
    </row>
    <row r="361" spans="2:8" x14ac:dyDescent="0.2">
      <c r="B361" s="530" t="str">
        <f t="shared" si="32"/>
        <v/>
      </c>
      <c r="C361" s="546" t="str">
        <f t="shared" si="28"/>
        <v>-</v>
      </c>
      <c r="D361" s="546" t="str">
        <f t="shared" si="29"/>
        <v>-</v>
      </c>
      <c r="E361" s="546" t="str">
        <f>IF(B361="","-",SUM($D$18:D361))</f>
        <v>-</v>
      </c>
      <c r="F361" s="546" t="str">
        <f t="shared" si="30"/>
        <v>-</v>
      </c>
      <c r="G361" s="546" t="str">
        <f>IF(B361="","-",SUM($F$18:F361))</f>
        <v>-</v>
      </c>
      <c r="H361" s="546" t="str">
        <f t="shared" si="31"/>
        <v>-</v>
      </c>
    </row>
    <row r="362" spans="2:8" x14ac:dyDescent="0.2">
      <c r="B362" s="530" t="str">
        <f t="shared" si="32"/>
        <v/>
      </c>
      <c r="C362" s="546" t="str">
        <f t="shared" si="28"/>
        <v>-</v>
      </c>
      <c r="D362" s="546" t="str">
        <f t="shared" si="29"/>
        <v>-</v>
      </c>
      <c r="E362" s="546" t="str">
        <f>IF(B362="","-",SUM($D$18:D362))</f>
        <v>-</v>
      </c>
      <c r="F362" s="546" t="str">
        <f t="shared" si="30"/>
        <v>-</v>
      </c>
      <c r="G362" s="546" t="str">
        <f>IF(B362="","-",SUM($F$18:F362))</f>
        <v>-</v>
      </c>
      <c r="H362" s="546" t="str">
        <f t="shared" si="31"/>
        <v>-</v>
      </c>
    </row>
    <row r="363" spans="2:8" x14ac:dyDescent="0.2">
      <c r="B363" s="530" t="str">
        <f t="shared" si="32"/>
        <v/>
      </c>
      <c r="C363" s="546" t="str">
        <f t="shared" si="28"/>
        <v>-</v>
      </c>
      <c r="D363" s="546" t="str">
        <f t="shared" si="29"/>
        <v>-</v>
      </c>
      <c r="E363" s="546" t="str">
        <f>IF(B363="","-",SUM($D$18:D363))</f>
        <v>-</v>
      </c>
      <c r="F363" s="546" t="str">
        <f t="shared" si="30"/>
        <v>-</v>
      </c>
      <c r="G363" s="546" t="str">
        <f>IF(B363="","-",SUM($F$18:F363))</f>
        <v>-</v>
      </c>
      <c r="H363" s="546" t="str">
        <f t="shared" si="31"/>
        <v>-</v>
      </c>
    </row>
    <row r="364" spans="2:8" x14ac:dyDescent="0.2">
      <c r="B364" s="530" t="str">
        <f t="shared" si="32"/>
        <v/>
      </c>
      <c r="C364" s="546" t="str">
        <f t="shared" si="28"/>
        <v>-</v>
      </c>
      <c r="D364" s="546" t="str">
        <f t="shared" si="29"/>
        <v>-</v>
      </c>
      <c r="E364" s="546" t="str">
        <f>IF(B364="","-",SUM($D$18:D364))</f>
        <v>-</v>
      </c>
      <c r="F364" s="546" t="str">
        <f t="shared" si="30"/>
        <v>-</v>
      </c>
      <c r="G364" s="546" t="str">
        <f>IF(B364="","-",SUM($F$18:F364))</f>
        <v>-</v>
      </c>
      <c r="H364" s="546" t="str">
        <f t="shared" si="31"/>
        <v>-</v>
      </c>
    </row>
    <row r="365" spans="2:8" x14ac:dyDescent="0.2">
      <c r="B365" s="530" t="str">
        <f t="shared" si="32"/>
        <v/>
      </c>
      <c r="C365" s="546" t="str">
        <f t="shared" si="28"/>
        <v>-</v>
      </c>
      <c r="D365" s="546" t="str">
        <f t="shared" si="29"/>
        <v>-</v>
      </c>
      <c r="E365" s="546" t="str">
        <f>IF(B365="","-",SUM($D$18:D365))</f>
        <v>-</v>
      </c>
      <c r="F365" s="546" t="str">
        <f t="shared" si="30"/>
        <v>-</v>
      </c>
      <c r="G365" s="546" t="str">
        <f>IF(B365="","-",SUM($F$18:F365))</f>
        <v>-</v>
      </c>
      <c r="H365" s="546" t="str">
        <f t="shared" si="31"/>
        <v>-</v>
      </c>
    </row>
    <row r="366" spans="2:8" x14ac:dyDescent="0.2">
      <c r="B366" s="530" t="str">
        <f t="shared" si="32"/>
        <v/>
      </c>
      <c r="C366" s="546" t="str">
        <f t="shared" si="28"/>
        <v>-</v>
      </c>
      <c r="D366" s="546" t="str">
        <f t="shared" si="29"/>
        <v>-</v>
      </c>
      <c r="E366" s="546" t="str">
        <f>IF(B366="","-",SUM($D$18:D366))</f>
        <v>-</v>
      </c>
      <c r="F366" s="546" t="str">
        <f t="shared" si="30"/>
        <v>-</v>
      </c>
      <c r="G366" s="546" t="str">
        <f>IF(B366="","-",SUM($F$18:F366))</f>
        <v>-</v>
      </c>
      <c r="H366" s="546" t="str">
        <f t="shared" si="31"/>
        <v>-</v>
      </c>
    </row>
    <row r="367" spans="2:8" x14ac:dyDescent="0.2">
      <c r="B367" s="530" t="str">
        <f t="shared" si="32"/>
        <v/>
      </c>
      <c r="C367" s="546" t="str">
        <f t="shared" si="28"/>
        <v>-</v>
      </c>
      <c r="D367" s="546" t="str">
        <f t="shared" si="29"/>
        <v>-</v>
      </c>
      <c r="E367" s="546" t="str">
        <f>IF(B367="","-",SUM($D$18:D367))</f>
        <v>-</v>
      </c>
      <c r="F367" s="546" t="str">
        <f t="shared" si="30"/>
        <v>-</v>
      </c>
      <c r="G367" s="546" t="str">
        <f>IF(B367="","-",SUM($F$18:F367))</f>
        <v>-</v>
      </c>
      <c r="H367" s="546" t="str">
        <f t="shared" si="31"/>
        <v>-</v>
      </c>
    </row>
    <row r="368" spans="2:8" x14ac:dyDescent="0.2">
      <c r="B368" s="530" t="str">
        <f t="shared" si="32"/>
        <v/>
      </c>
      <c r="C368" s="546" t="str">
        <f t="shared" si="28"/>
        <v>-</v>
      </c>
      <c r="D368" s="546" t="str">
        <f t="shared" si="29"/>
        <v>-</v>
      </c>
      <c r="E368" s="546" t="str">
        <f>IF(B368="","-",SUM($D$18:D368))</f>
        <v>-</v>
      </c>
      <c r="F368" s="546" t="str">
        <f t="shared" si="30"/>
        <v>-</v>
      </c>
      <c r="G368" s="546" t="str">
        <f>IF(B368="","-",SUM($F$18:F368))</f>
        <v>-</v>
      </c>
      <c r="H368" s="546" t="str">
        <f t="shared" si="31"/>
        <v>-</v>
      </c>
    </row>
    <row r="369" spans="2:8" x14ac:dyDescent="0.2">
      <c r="B369" s="530" t="str">
        <f t="shared" si="32"/>
        <v/>
      </c>
      <c r="C369" s="546" t="str">
        <f t="shared" si="28"/>
        <v>-</v>
      </c>
      <c r="D369" s="546" t="str">
        <f t="shared" si="29"/>
        <v>-</v>
      </c>
      <c r="E369" s="546" t="str">
        <f>IF(B369="","-",SUM($D$18:D369))</f>
        <v>-</v>
      </c>
      <c r="F369" s="546" t="str">
        <f t="shared" si="30"/>
        <v>-</v>
      </c>
      <c r="G369" s="546" t="str">
        <f>IF(B369="","-",SUM($F$18:F369))</f>
        <v>-</v>
      </c>
      <c r="H369" s="546" t="str">
        <f t="shared" si="31"/>
        <v>-</v>
      </c>
    </row>
    <row r="370" spans="2:8" x14ac:dyDescent="0.2">
      <c r="B370" s="530" t="str">
        <f t="shared" si="32"/>
        <v/>
      </c>
      <c r="C370" s="546" t="str">
        <f t="shared" si="28"/>
        <v>-</v>
      </c>
      <c r="D370" s="546" t="str">
        <f t="shared" si="29"/>
        <v>-</v>
      </c>
      <c r="E370" s="546" t="str">
        <f>IF(B370="","-",SUM($D$18:D370))</f>
        <v>-</v>
      </c>
      <c r="F370" s="546" t="str">
        <f t="shared" si="30"/>
        <v>-</v>
      </c>
      <c r="G370" s="546" t="str">
        <f>IF(B370="","-",SUM($F$18:F370))</f>
        <v>-</v>
      </c>
      <c r="H370" s="546" t="str">
        <f t="shared" si="31"/>
        <v>-</v>
      </c>
    </row>
    <row r="371" spans="2:8" x14ac:dyDescent="0.2">
      <c r="B371" s="530" t="str">
        <f t="shared" si="32"/>
        <v/>
      </c>
      <c r="C371" s="546" t="str">
        <f t="shared" si="28"/>
        <v>-</v>
      </c>
      <c r="D371" s="546" t="str">
        <f t="shared" si="29"/>
        <v>-</v>
      </c>
      <c r="E371" s="546" t="str">
        <f>IF(B371="","-",SUM($D$18:D371))</f>
        <v>-</v>
      </c>
      <c r="F371" s="546" t="str">
        <f t="shared" si="30"/>
        <v>-</v>
      </c>
      <c r="G371" s="546" t="str">
        <f>IF(B371="","-",SUM($F$18:F371))</f>
        <v>-</v>
      </c>
      <c r="H371" s="546" t="str">
        <f t="shared" si="31"/>
        <v>-</v>
      </c>
    </row>
    <row r="372" spans="2:8" x14ac:dyDescent="0.2">
      <c r="B372" s="530" t="str">
        <f t="shared" si="32"/>
        <v/>
      </c>
      <c r="C372" s="546" t="str">
        <f t="shared" si="28"/>
        <v>-</v>
      </c>
      <c r="D372" s="546" t="str">
        <f t="shared" si="29"/>
        <v>-</v>
      </c>
      <c r="E372" s="546" t="str">
        <f>IF(B372="","-",SUM($D$18:D372))</f>
        <v>-</v>
      </c>
      <c r="F372" s="546" t="str">
        <f t="shared" si="30"/>
        <v>-</v>
      </c>
      <c r="G372" s="546" t="str">
        <f>IF(B372="","-",SUM($F$18:F372))</f>
        <v>-</v>
      </c>
      <c r="H372" s="546" t="str">
        <f t="shared" si="31"/>
        <v>-</v>
      </c>
    </row>
    <row r="373" spans="2:8" x14ac:dyDescent="0.2">
      <c r="B373" s="530" t="str">
        <f t="shared" si="32"/>
        <v/>
      </c>
      <c r="C373" s="546" t="str">
        <f t="shared" si="28"/>
        <v>-</v>
      </c>
      <c r="D373" s="546" t="str">
        <f t="shared" si="29"/>
        <v>-</v>
      </c>
      <c r="E373" s="546" t="str">
        <f>IF(B373="","-",SUM($D$18:D373))</f>
        <v>-</v>
      </c>
      <c r="F373" s="546" t="str">
        <f t="shared" si="30"/>
        <v>-</v>
      </c>
      <c r="G373" s="546" t="str">
        <f>IF(B373="","-",SUM($F$18:F373))</f>
        <v>-</v>
      </c>
      <c r="H373" s="546" t="str">
        <f t="shared" si="31"/>
        <v>-</v>
      </c>
    </row>
    <row r="374" spans="2:8" x14ac:dyDescent="0.2">
      <c r="B374" s="530" t="str">
        <f t="shared" si="32"/>
        <v/>
      </c>
      <c r="C374" s="546" t="str">
        <f t="shared" si="28"/>
        <v>-</v>
      </c>
      <c r="D374" s="546" t="str">
        <f t="shared" si="29"/>
        <v>-</v>
      </c>
      <c r="E374" s="546" t="str">
        <f>IF(B374="","-",SUM($D$18:D374))</f>
        <v>-</v>
      </c>
      <c r="F374" s="546" t="str">
        <f t="shared" si="30"/>
        <v>-</v>
      </c>
      <c r="G374" s="546" t="str">
        <f>IF(B374="","-",SUM($F$18:F374))</f>
        <v>-</v>
      </c>
      <c r="H374" s="546" t="str">
        <f t="shared" si="31"/>
        <v>-</v>
      </c>
    </row>
    <row r="375" spans="2:8" x14ac:dyDescent="0.2">
      <c r="B375" s="530" t="str">
        <f t="shared" si="32"/>
        <v/>
      </c>
      <c r="C375" s="546" t="str">
        <f t="shared" si="28"/>
        <v>-</v>
      </c>
      <c r="D375" s="546" t="str">
        <f t="shared" si="29"/>
        <v>-</v>
      </c>
      <c r="E375" s="546" t="str">
        <f>IF(B375="","-",SUM($D$18:D375))</f>
        <v>-</v>
      </c>
      <c r="F375" s="546" t="str">
        <f t="shared" si="30"/>
        <v>-</v>
      </c>
      <c r="G375" s="546" t="str">
        <f>IF(B375="","-",SUM($F$18:F375))</f>
        <v>-</v>
      </c>
      <c r="H375" s="546" t="str">
        <f t="shared" si="31"/>
        <v>-</v>
      </c>
    </row>
    <row r="376" spans="2:8" x14ac:dyDescent="0.2">
      <c r="B376" s="530" t="str">
        <f t="shared" si="32"/>
        <v/>
      </c>
      <c r="C376" s="546" t="str">
        <f t="shared" si="28"/>
        <v>-</v>
      </c>
      <c r="D376" s="546" t="str">
        <f t="shared" si="29"/>
        <v>-</v>
      </c>
      <c r="E376" s="546" t="str">
        <f>IF(B376="","-",SUM($D$18:D376))</f>
        <v>-</v>
      </c>
      <c r="F376" s="546" t="str">
        <f t="shared" si="30"/>
        <v>-</v>
      </c>
      <c r="G376" s="546" t="str">
        <f>IF(B376="","-",SUM($F$18:F376))</f>
        <v>-</v>
      </c>
      <c r="H376" s="546" t="str">
        <f t="shared" si="31"/>
        <v>-</v>
      </c>
    </row>
    <row r="377" spans="2:8" x14ac:dyDescent="0.2">
      <c r="B377" s="530" t="str">
        <f t="shared" si="32"/>
        <v/>
      </c>
      <c r="C377" s="546" t="str">
        <f t="shared" si="28"/>
        <v>-</v>
      </c>
      <c r="D377" s="546" t="str">
        <f t="shared" si="29"/>
        <v>-</v>
      </c>
      <c r="E377" s="546" t="str">
        <f>IF(B377="","-",SUM($D$18:D377))</f>
        <v>-</v>
      </c>
      <c r="F377" s="546" t="str">
        <f t="shared" si="30"/>
        <v>-</v>
      </c>
      <c r="G377" s="546" t="str">
        <f>IF(B377="","-",SUM($F$18:F377))</f>
        <v>-</v>
      </c>
      <c r="H377" s="546" t="str">
        <f t="shared" si="31"/>
        <v>-</v>
      </c>
    </row>
    <row r="378" spans="2:8" x14ac:dyDescent="0.2">
      <c r="B378" s="530" t="str">
        <f>IF(B377&gt;=$D$5*12,"",B377+1)</f>
        <v/>
      </c>
      <c r="C378" s="546" t="str">
        <f t="shared" si="28"/>
        <v>-</v>
      </c>
      <c r="D378" s="546" t="str">
        <f t="shared" si="29"/>
        <v>-</v>
      </c>
      <c r="E378" s="546" t="str">
        <f>IF(B378="","-",SUM($D$18:D378))</f>
        <v>-</v>
      </c>
      <c r="F378" s="546" t="str">
        <f t="shared" si="30"/>
        <v>-</v>
      </c>
      <c r="G378" s="546" t="str">
        <f>IF(B378="","-",SUM($F$18:F378))</f>
        <v>-</v>
      </c>
      <c r="H378" s="546" t="str">
        <f t="shared" si="31"/>
        <v>-</v>
      </c>
    </row>
    <row r="379" spans="2:8" x14ac:dyDescent="0.2">
      <c r="B379" s="553"/>
      <c r="C379" s="553"/>
      <c r="D379" s="553"/>
      <c r="E379" s="553"/>
      <c r="F379" s="553"/>
      <c r="G379" s="553"/>
      <c r="H379" s="553"/>
    </row>
    <row r="380" spans="2:8" x14ac:dyDescent="0.2">
      <c r="B380" s="554"/>
    </row>
    <row r="381" spans="2:8" x14ac:dyDescent="0.2">
      <c r="B381" s="218" t="s">
        <v>301</v>
      </c>
    </row>
    <row r="382" spans="2:8" x14ac:dyDescent="0.2">
      <c r="B382" s="218" t="s">
        <v>140</v>
      </c>
    </row>
  </sheetData>
  <mergeCells count="1">
    <mergeCell ref="A1:L1"/>
  </mergeCells>
  <phoneticPr fontId="6" type="noConversion"/>
  <conditionalFormatting sqref="A13:A14 C13">
    <cfRule type="cellIs" priority="1" stopIfTrue="1" operator="notEqual">
      <formula>0</formula>
    </cfRule>
    <cfRule type="expression" dxfId="0" priority="2" stopIfTrue="1">
      <formula>+Highlighting_Flag</formula>
    </cfRule>
  </conditionalFormatting>
  <pageMargins left="0.35" right="0.41" top="0.75" bottom="0.7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outlinePr summaryBelow="0" summaryRight="0"/>
  </sheetPr>
  <dimension ref="A1:BK113"/>
  <sheetViews>
    <sheetView workbookViewId="0">
      <pane xSplit="1" ySplit="3" topLeftCell="B4" activePane="bottomRight" state="frozen"/>
      <selection pane="topRight" activeCell="B1" sqref="B1"/>
      <selection pane="bottomLeft" activeCell="A4" sqref="A4"/>
      <selection pane="bottomRight" activeCell="AH7" sqref="AH7"/>
    </sheetView>
  </sheetViews>
  <sheetFormatPr defaultColWidth="8.85546875" defaultRowHeight="11.25" outlineLevelCol="2" x14ac:dyDescent="0.2"/>
  <cols>
    <col min="1" max="1" width="2.28515625" style="149" customWidth="1"/>
    <col min="2" max="2" width="27.7109375" style="149" customWidth="1"/>
    <col min="3" max="3" width="10.42578125" style="150" customWidth="1"/>
    <col min="4" max="4" width="7.7109375" style="150" customWidth="1" outlineLevel="1"/>
    <col min="5" max="5" width="25.42578125" style="150" customWidth="1"/>
    <col min="6" max="6" width="10.42578125" style="150" customWidth="1" collapsed="1"/>
    <col min="7" max="7" width="8.28515625" style="150" hidden="1" customWidth="1" outlineLevel="1"/>
    <col min="8" max="8" width="6.85546875" style="150" customWidth="1"/>
    <col min="9" max="9" width="11" style="150" customWidth="1" collapsed="1"/>
    <col min="10" max="10" width="8.7109375" style="150" hidden="1" customWidth="1" outlineLevel="1"/>
    <col min="11" max="11" width="6.7109375" style="150" customWidth="1"/>
    <col min="12" max="12" width="11" style="150" customWidth="1"/>
    <col min="13" max="13" width="8" style="150" customWidth="1" outlineLevel="1"/>
    <col min="14" max="14" width="6.7109375" style="150" customWidth="1"/>
    <col min="15" max="15" width="11" style="150" customWidth="1" outlineLevel="1" collapsed="1"/>
    <col min="16" max="16" width="8" style="150" hidden="1" customWidth="1" outlineLevel="2"/>
    <col min="17" max="17" width="6.7109375" style="150" customWidth="1" outlineLevel="1"/>
    <col min="18" max="18" width="11" style="150" customWidth="1" outlineLevel="1" collapsed="1"/>
    <col min="19" max="19" width="8" style="150" hidden="1" customWidth="1" outlineLevel="2"/>
    <col min="20" max="20" width="6.7109375" style="150" customWidth="1" outlineLevel="1"/>
    <col min="21" max="21" width="11" style="150" customWidth="1" outlineLevel="1" collapsed="1"/>
    <col min="22" max="22" width="8" style="150" hidden="1" customWidth="1" outlineLevel="2"/>
    <col min="23" max="23" width="6.7109375" style="150" customWidth="1" outlineLevel="1"/>
    <col min="24" max="24" width="11" style="150" customWidth="1" outlineLevel="1" collapsed="1"/>
    <col min="25" max="25" width="8" style="150" hidden="1" customWidth="1" outlineLevel="2"/>
    <col min="26" max="26" width="6.7109375" style="150" customWidth="1" outlineLevel="1"/>
    <col min="27" max="27" width="1.7109375" style="196" customWidth="1"/>
    <col min="28" max="29" width="1.7109375" style="195" customWidth="1"/>
    <col min="30" max="30" width="24" style="360" customWidth="1"/>
    <col min="31" max="31" width="14.85546875" style="361" customWidth="1"/>
    <col min="32" max="32" width="8.7109375" style="361" customWidth="1"/>
    <col min="33" max="34" width="10.28515625" style="149" customWidth="1"/>
    <col min="35" max="35" width="12.42578125" style="149" bestFit="1" customWidth="1"/>
    <col min="36" max="36" width="14" style="149" bestFit="1" customWidth="1"/>
    <col min="37" max="37" width="15.7109375" style="149" bestFit="1" customWidth="1"/>
    <col min="38" max="38" width="16.42578125" style="149" bestFit="1" customWidth="1"/>
    <col min="39" max="39" width="30.42578125" style="149" customWidth="1"/>
    <col min="40" max="40" width="6.85546875" style="149" customWidth="1"/>
    <col min="41" max="41" width="35.28515625" style="195" customWidth="1"/>
    <col min="42" max="42" width="45" style="195" customWidth="1"/>
    <col min="43" max="43" width="9.85546875" style="195" bestFit="1" customWidth="1"/>
    <col min="44" max="63" width="8.85546875" style="195"/>
    <col min="64" max="16384" width="8.85546875" style="149"/>
  </cols>
  <sheetData>
    <row r="1" spans="1:63" s="222" customFormat="1" ht="15.75" x14ac:dyDescent="0.2">
      <c r="A1" s="972" t="s">
        <v>142</v>
      </c>
      <c r="B1" s="973"/>
      <c r="C1" s="973"/>
      <c r="D1" s="973"/>
      <c r="E1" s="973"/>
      <c r="F1" s="973"/>
      <c r="G1" s="973"/>
      <c r="H1" s="973"/>
      <c r="I1" s="973"/>
      <c r="J1" s="973"/>
      <c r="K1" s="973"/>
      <c r="L1" s="973"/>
      <c r="M1" s="973"/>
      <c r="N1" s="973"/>
      <c r="O1" s="756"/>
      <c r="P1" s="756"/>
      <c r="Q1" s="756"/>
      <c r="R1" s="756"/>
      <c r="S1" s="756"/>
      <c r="T1" s="756"/>
      <c r="U1" s="756"/>
      <c r="V1" s="756"/>
      <c r="W1" s="756"/>
      <c r="X1" s="756"/>
      <c r="Y1" s="756"/>
      <c r="Z1" s="756"/>
      <c r="AA1" s="454"/>
      <c r="AB1" s="451"/>
      <c r="AC1" s="451"/>
      <c r="AD1" s="224"/>
      <c r="AE1" s="225"/>
      <c r="AF1" s="225"/>
      <c r="AG1" s="225"/>
      <c r="AH1" s="225"/>
      <c r="AI1" s="226"/>
      <c r="AJ1" s="226"/>
      <c r="AK1" s="226"/>
      <c r="AL1" s="226"/>
      <c r="AM1" s="226"/>
      <c r="AN1" s="226"/>
      <c r="AO1" s="451"/>
      <c r="AP1" s="473"/>
      <c r="AQ1" s="473"/>
      <c r="AR1" s="473"/>
      <c r="AS1" s="473"/>
      <c r="AT1" s="473"/>
      <c r="AU1" s="473"/>
      <c r="AV1" s="473"/>
      <c r="AW1" s="473"/>
      <c r="AX1" s="226"/>
      <c r="AY1" s="226"/>
      <c r="AZ1" s="226"/>
      <c r="BA1" s="226"/>
      <c r="BB1" s="226"/>
      <c r="BC1" s="226"/>
      <c r="BD1" s="226"/>
      <c r="BE1" s="226"/>
      <c r="BF1" s="226"/>
      <c r="BG1" s="226"/>
      <c r="BH1" s="226"/>
      <c r="BI1" s="226"/>
      <c r="BJ1" s="226"/>
      <c r="BK1" s="226"/>
    </row>
    <row r="2" spans="1:63" ht="12" thickBot="1" x14ac:dyDescent="0.25">
      <c r="A2" s="199"/>
      <c r="B2" s="200"/>
      <c r="C2" s="201"/>
      <c r="D2" s="201"/>
      <c r="E2" s="197"/>
      <c r="F2" s="191"/>
      <c r="G2" s="191"/>
      <c r="H2" s="197"/>
      <c r="I2" s="197"/>
      <c r="J2" s="197"/>
      <c r="K2" s="197"/>
      <c r="L2" s="197"/>
      <c r="M2" s="197"/>
      <c r="N2" s="197"/>
      <c r="O2" s="197"/>
      <c r="P2" s="197"/>
      <c r="Q2" s="197"/>
      <c r="R2" s="197"/>
      <c r="S2" s="197"/>
      <c r="T2" s="197"/>
      <c r="U2" s="197"/>
      <c r="V2" s="197"/>
      <c r="W2" s="197"/>
      <c r="X2" s="197"/>
      <c r="Y2" s="197"/>
      <c r="Z2" s="197"/>
      <c r="AA2" s="455"/>
      <c r="AB2" s="456"/>
      <c r="AC2" s="456"/>
      <c r="AD2" s="300"/>
      <c r="AE2" s="897" t="s">
        <v>391</v>
      </c>
      <c r="AF2" s="196"/>
      <c r="AG2" s="195"/>
      <c r="AH2" s="195"/>
      <c r="AI2" s="195"/>
      <c r="AJ2" s="195"/>
      <c r="AK2" s="195"/>
      <c r="AL2" s="195"/>
      <c r="AM2" s="195"/>
      <c r="AN2" s="195"/>
      <c r="AO2" s="456"/>
      <c r="AP2" s="456"/>
      <c r="AQ2" s="456"/>
      <c r="AR2" s="456"/>
      <c r="AS2" s="456"/>
      <c r="AT2" s="456"/>
      <c r="AU2" s="456"/>
      <c r="AV2" s="456"/>
      <c r="AW2" s="456"/>
    </row>
    <row r="3" spans="1:63" ht="12" customHeight="1" thickBot="1" x14ac:dyDescent="0.25">
      <c r="A3" s="199"/>
      <c r="B3" s="439"/>
      <c r="C3" s="925" t="s">
        <v>408</v>
      </c>
      <c r="D3" s="603"/>
      <c r="E3" s="572"/>
      <c r="F3" s="644" t="s">
        <v>215</v>
      </c>
      <c r="G3" s="603"/>
      <c r="H3" s="572"/>
      <c r="I3" s="644" t="s">
        <v>216</v>
      </c>
      <c r="J3" s="603"/>
      <c r="K3" s="572"/>
      <c r="L3" s="645" t="s">
        <v>217</v>
      </c>
      <c r="M3" s="603"/>
      <c r="N3" s="572"/>
      <c r="O3" s="645" t="s">
        <v>367</v>
      </c>
      <c r="P3" s="603"/>
      <c r="Q3" s="572"/>
      <c r="R3" s="645" t="s">
        <v>368</v>
      </c>
      <c r="S3" s="603"/>
      <c r="T3" s="572"/>
      <c r="U3" s="645" t="s">
        <v>369</v>
      </c>
      <c r="V3" s="603"/>
      <c r="W3" s="572"/>
      <c r="X3" s="645" t="s">
        <v>370</v>
      </c>
      <c r="Y3" s="603"/>
      <c r="Z3" s="572"/>
      <c r="AA3" s="457"/>
      <c r="AB3" s="456"/>
      <c r="AC3" s="456"/>
      <c r="AD3" s="300"/>
      <c r="AE3" s="898" t="s">
        <v>392</v>
      </c>
      <c r="AF3" s="196"/>
      <c r="AG3" s="195"/>
      <c r="AH3" s="195"/>
      <c r="AI3" s="195"/>
      <c r="AJ3" s="195"/>
      <c r="AK3" s="195"/>
      <c r="AL3" s="195"/>
      <c r="AM3" s="195"/>
      <c r="AN3" s="195"/>
      <c r="AO3" s="456"/>
      <c r="AP3" s="456"/>
      <c r="AQ3" s="456"/>
      <c r="AR3" s="456"/>
      <c r="AS3" s="456"/>
      <c r="AT3" s="456"/>
      <c r="AU3" s="456"/>
      <c r="AV3" s="456"/>
      <c r="AW3" s="456"/>
    </row>
    <row r="4" spans="1:63" ht="12" thickBot="1" x14ac:dyDescent="0.25">
      <c r="A4" s="129"/>
      <c r="B4" s="200"/>
      <c r="C4" s="201"/>
      <c r="D4" s="201"/>
      <c r="E4" s="197"/>
      <c r="F4" s="191"/>
      <c r="G4" s="191"/>
      <c r="H4" s="197"/>
      <c r="I4" s="197"/>
      <c r="J4" s="197"/>
      <c r="K4" s="197"/>
      <c r="L4" s="197"/>
      <c r="M4" s="197"/>
      <c r="N4" s="197"/>
      <c r="O4" s="197"/>
      <c r="P4" s="197"/>
      <c r="Q4" s="197"/>
      <c r="R4" s="197"/>
      <c r="S4" s="197"/>
      <c r="T4" s="197"/>
      <c r="U4" s="197"/>
      <c r="V4" s="197"/>
      <c r="W4" s="197"/>
      <c r="X4" s="197"/>
      <c r="Y4" s="197"/>
      <c r="Z4" s="197"/>
      <c r="AA4" s="455"/>
      <c r="AB4" s="456"/>
      <c r="AC4" s="456"/>
      <c r="AD4" s="300"/>
      <c r="AE4" s="196"/>
      <c r="AF4" s="196"/>
      <c r="AG4" s="195"/>
      <c r="AH4" s="195"/>
      <c r="AI4" s="195"/>
      <c r="AJ4" s="195"/>
      <c r="AK4" s="195"/>
      <c r="AL4" s="195"/>
      <c r="AM4" s="195"/>
      <c r="AN4" s="195"/>
      <c r="AO4" s="456"/>
      <c r="AP4" s="456"/>
      <c r="AQ4" s="456"/>
      <c r="AR4" s="456"/>
      <c r="AS4" s="456"/>
      <c r="AT4" s="456"/>
      <c r="AU4" s="456"/>
      <c r="AV4" s="456"/>
      <c r="AW4" s="456"/>
    </row>
    <row r="5" spans="1:63" ht="12.75" customHeight="1" thickBot="1" x14ac:dyDescent="0.25">
      <c r="A5" s="198"/>
      <c r="B5" s="429" t="s">
        <v>372</v>
      </c>
      <c r="C5" s="177"/>
      <c r="D5" s="603"/>
      <c r="E5" s="572"/>
      <c r="F5" s="177"/>
      <c r="G5" s="603"/>
      <c r="H5" s="572"/>
      <c r="I5" s="177"/>
      <c r="J5" s="603"/>
      <c r="K5" s="572"/>
      <c r="L5" s="177"/>
      <c r="M5" s="603"/>
      <c r="N5" s="572"/>
      <c r="O5" s="177"/>
      <c r="P5" s="603"/>
      <c r="Q5" s="572"/>
      <c r="R5" s="177"/>
      <c r="S5" s="603"/>
      <c r="T5" s="572"/>
      <c r="U5" s="177"/>
      <c r="V5" s="603"/>
      <c r="W5" s="572"/>
      <c r="X5" s="177"/>
      <c r="Y5" s="603"/>
      <c r="Z5" s="572"/>
      <c r="AA5" s="457"/>
      <c r="AB5" s="456"/>
      <c r="AC5" s="456"/>
      <c r="AD5" s="981" t="s">
        <v>373</v>
      </c>
      <c r="AE5" s="982"/>
      <c r="AF5" s="982"/>
      <c r="AG5" s="982"/>
      <c r="AH5" s="982"/>
      <c r="AI5" s="982"/>
      <c r="AJ5" s="982"/>
      <c r="AK5" s="982"/>
      <c r="AL5" s="195"/>
      <c r="AM5" s="200"/>
      <c r="AN5" s="740"/>
      <c r="AO5" s="456"/>
      <c r="AP5" s="740"/>
      <c r="AQ5" s="740"/>
      <c r="AR5" s="456"/>
      <c r="AS5" s="456"/>
      <c r="AT5" s="456"/>
      <c r="AU5" s="456"/>
      <c r="AV5" s="456"/>
      <c r="AW5" s="456"/>
    </row>
    <row r="6" spans="1:63" ht="11.25" customHeight="1" x14ac:dyDescent="0.2">
      <c r="A6" s="198"/>
      <c r="B6" s="796" t="s">
        <v>96</v>
      </c>
      <c r="C6" s="864">
        <v>15000000</v>
      </c>
      <c r="D6" s="596"/>
      <c r="E6" s="152"/>
      <c r="F6" s="868">
        <f>C6</f>
        <v>15000000</v>
      </c>
      <c r="G6" s="609"/>
      <c r="H6" s="153"/>
      <c r="I6" s="870">
        <f>F6</f>
        <v>15000000</v>
      </c>
      <c r="J6" s="596"/>
      <c r="K6" s="153"/>
      <c r="L6" s="866">
        <v>15000000</v>
      </c>
      <c r="M6" s="596"/>
      <c r="N6" s="153"/>
      <c r="O6" s="866">
        <v>0</v>
      </c>
      <c r="P6" s="596"/>
      <c r="Q6" s="153"/>
      <c r="R6" s="866">
        <v>0</v>
      </c>
      <c r="S6" s="596"/>
      <c r="T6" s="153"/>
      <c r="U6" s="866">
        <v>0</v>
      </c>
      <c r="V6" s="596"/>
      <c r="W6" s="153"/>
      <c r="X6" s="866">
        <v>0</v>
      </c>
      <c r="Y6" s="596"/>
      <c r="Z6" s="153"/>
      <c r="AA6" s="458"/>
      <c r="AB6" s="459"/>
      <c r="AC6" s="459"/>
      <c r="AD6" s="854" t="s">
        <v>374</v>
      </c>
      <c r="AE6" s="855" t="s">
        <v>302</v>
      </c>
      <c r="AF6" s="855" t="s">
        <v>375</v>
      </c>
      <c r="AG6" s="855" t="s">
        <v>376</v>
      </c>
      <c r="AH6" s="855" t="s">
        <v>377</v>
      </c>
      <c r="AI6" s="855" t="s">
        <v>382</v>
      </c>
      <c r="AJ6" s="855" t="s">
        <v>383</v>
      </c>
      <c r="AK6" s="855" t="s">
        <v>384</v>
      </c>
      <c r="AL6" s="855" t="s">
        <v>378</v>
      </c>
      <c r="AM6" s="195"/>
      <c r="AN6" s="195"/>
      <c r="AP6" s="740" t="str">
        <f>About!B3</f>
        <v>Key Metric</v>
      </c>
      <c r="AQ6" s="740" t="str">
        <f>About!C3</f>
        <v>Minimum Criteria</v>
      </c>
      <c r="AR6" s="456"/>
      <c r="AS6" s="456"/>
      <c r="AT6" s="456"/>
      <c r="AU6" s="456"/>
      <c r="AV6" s="456"/>
      <c r="AW6" s="456"/>
    </row>
    <row r="7" spans="1:63" ht="11.25" customHeight="1" x14ac:dyDescent="0.2">
      <c r="A7" s="198"/>
      <c r="B7" s="641" t="s">
        <v>350</v>
      </c>
      <c r="C7" s="865">
        <f>C6</f>
        <v>15000000</v>
      </c>
      <c r="D7" s="599"/>
      <c r="E7" s="799"/>
      <c r="F7" s="869">
        <f>F6</f>
        <v>15000000</v>
      </c>
      <c r="G7" s="795"/>
      <c r="H7" s="800"/>
      <c r="I7" s="871">
        <f>I6</f>
        <v>15000000</v>
      </c>
      <c r="J7" s="599"/>
      <c r="K7" s="800"/>
      <c r="L7" s="871">
        <v>15500000</v>
      </c>
      <c r="M7" s="599"/>
      <c r="N7" s="800"/>
      <c r="O7" s="871">
        <f>O6</f>
        <v>0</v>
      </c>
      <c r="P7" s="599"/>
      <c r="Q7" s="800"/>
      <c r="R7" s="871">
        <f>R6</f>
        <v>0</v>
      </c>
      <c r="S7" s="599"/>
      <c r="T7" s="800"/>
      <c r="U7" s="871">
        <f>U6</f>
        <v>0</v>
      </c>
      <c r="V7" s="599"/>
      <c r="W7" s="800"/>
      <c r="X7" s="871">
        <f>X6</f>
        <v>0</v>
      </c>
      <c r="Y7" s="599"/>
      <c r="Z7" s="800"/>
      <c r="AA7" s="458"/>
      <c r="AB7" s="459"/>
      <c r="AC7" s="459"/>
      <c r="AD7" s="856">
        <v>64</v>
      </c>
      <c r="AE7" s="896" t="s">
        <v>379</v>
      </c>
      <c r="AF7" s="858">
        <v>750</v>
      </c>
      <c r="AG7" s="859">
        <v>509</v>
      </c>
      <c r="AH7" s="859">
        <v>525</v>
      </c>
      <c r="AI7" s="860">
        <f t="shared" ref="AI7:AI16" si="0">AH7-AG7</f>
        <v>16</v>
      </c>
      <c r="AJ7" s="859"/>
      <c r="AK7" s="860">
        <f t="shared" ref="AK7:AK16" si="1">AJ7-AI7</f>
        <v>-16</v>
      </c>
      <c r="AL7" s="861">
        <f>SUMPRODUCT(AD7:AD16,AH7:AH16)/SUM(AD7:AD16)</f>
        <v>589.53252032520322</v>
      </c>
      <c r="AM7" s="195"/>
      <c r="AN7" s="195"/>
      <c r="AP7" s="748" t="str">
        <f>About!B4</f>
        <v>Debt Coverage Ratio (DCR)</v>
      </c>
      <c r="AQ7" s="748">
        <f>About!C4</f>
        <v>1.25</v>
      </c>
      <c r="AR7" s="456"/>
      <c r="AS7" s="456"/>
      <c r="AT7" s="456"/>
      <c r="AU7" s="456"/>
      <c r="AV7" s="456"/>
      <c r="AW7" s="456"/>
    </row>
    <row r="8" spans="1:63" ht="11.25" customHeight="1" x14ac:dyDescent="0.2">
      <c r="A8" s="198"/>
      <c r="B8" s="641" t="s">
        <v>23</v>
      </c>
      <c r="C8" s="155">
        <f>244+248</f>
        <v>492</v>
      </c>
      <c r="D8" s="597"/>
      <c r="E8" s="156"/>
      <c r="F8" s="157">
        <f>C8</f>
        <v>492</v>
      </c>
      <c r="G8" s="610"/>
      <c r="H8" s="158"/>
      <c r="I8" s="610">
        <f>F8</f>
        <v>492</v>
      </c>
      <c r="J8" s="610"/>
      <c r="K8" s="158"/>
      <c r="L8" s="157">
        <f>I8</f>
        <v>492</v>
      </c>
      <c r="M8" s="610"/>
      <c r="N8" s="158"/>
      <c r="O8" s="157">
        <f>L8</f>
        <v>492</v>
      </c>
      <c r="P8" s="610"/>
      <c r="Q8" s="158"/>
      <c r="R8" s="157">
        <f>O8</f>
        <v>492</v>
      </c>
      <c r="S8" s="610"/>
      <c r="T8" s="158"/>
      <c r="U8" s="157">
        <f>R8</f>
        <v>492</v>
      </c>
      <c r="V8" s="610"/>
      <c r="W8" s="158"/>
      <c r="X8" s="157">
        <f>U8</f>
        <v>492</v>
      </c>
      <c r="Y8" s="610"/>
      <c r="Z8" s="158"/>
      <c r="AA8" s="460"/>
      <c r="AB8" s="461"/>
      <c r="AC8" s="461"/>
      <c r="AD8" s="856">
        <v>170</v>
      </c>
      <c r="AE8" s="896" t="s">
        <v>380</v>
      </c>
      <c r="AF8" s="858">
        <v>950</v>
      </c>
      <c r="AG8" s="859">
        <v>572</v>
      </c>
      <c r="AH8" s="859">
        <v>625</v>
      </c>
      <c r="AI8" s="860">
        <f t="shared" si="0"/>
        <v>53</v>
      </c>
      <c r="AJ8" s="859"/>
      <c r="AK8" s="860">
        <f t="shared" si="1"/>
        <v>-53</v>
      </c>
      <c r="AL8" s="862"/>
      <c r="AM8" s="195"/>
      <c r="AN8" s="195"/>
      <c r="AP8" s="748" t="str">
        <f>About!B5</f>
        <v>Average Annual Return (AAR)</v>
      </c>
      <c r="AQ8" s="748">
        <f>About!C5</f>
        <v>0.15</v>
      </c>
      <c r="AR8" s="456"/>
      <c r="AS8" s="456"/>
      <c r="AT8" s="456"/>
      <c r="AU8" s="456"/>
      <c r="AV8" s="456"/>
      <c r="AW8" s="456"/>
    </row>
    <row r="9" spans="1:63" ht="12.75" x14ac:dyDescent="0.2">
      <c r="A9" s="198"/>
      <c r="B9" s="641" t="s">
        <v>36</v>
      </c>
      <c r="C9" s="159">
        <f>IF(C8=0,0,C7/C8)</f>
        <v>30487.804878048781</v>
      </c>
      <c r="D9" s="197"/>
      <c r="E9" s="160"/>
      <c r="F9" s="159">
        <f>IF(F8=0,0,F7/F8)</f>
        <v>30487.804878048781</v>
      </c>
      <c r="G9" s="197"/>
      <c r="H9" s="160"/>
      <c r="I9" s="197">
        <f>IF(I8=0,0,I7/I8)</f>
        <v>30487.804878048781</v>
      </c>
      <c r="J9" s="197"/>
      <c r="K9" s="160"/>
      <c r="L9" s="159">
        <f>IF(L8=0,0,L7/L8)</f>
        <v>31504.065040650406</v>
      </c>
      <c r="M9" s="197"/>
      <c r="N9" s="160"/>
      <c r="O9" s="159">
        <f>IF(O8=0,0,O7/O8)</f>
        <v>0</v>
      </c>
      <c r="P9" s="197"/>
      <c r="Q9" s="160"/>
      <c r="R9" s="159">
        <f>IF(R8=0,0,R7/R8)</f>
        <v>0</v>
      </c>
      <c r="S9" s="197"/>
      <c r="T9" s="160"/>
      <c r="U9" s="159">
        <f>IF(U8=0,0,U7/U8)</f>
        <v>0</v>
      </c>
      <c r="V9" s="197"/>
      <c r="W9" s="160"/>
      <c r="X9" s="159">
        <f>IF(X8=0,0,X7/X8)</f>
        <v>0</v>
      </c>
      <c r="Y9" s="197"/>
      <c r="Z9" s="160"/>
      <c r="AA9" s="455"/>
      <c r="AB9" s="462"/>
      <c r="AC9" s="462"/>
      <c r="AD9" s="856">
        <v>10</v>
      </c>
      <c r="AE9" s="896" t="s">
        <v>381</v>
      </c>
      <c r="AF9" s="858">
        <v>1150</v>
      </c>
      <c r="AG9" s="859">
        <v>706</v>
      </c>
      <c r="AH9" s="859">
        <v>750</v>
      </c>
      <c r="AI9" s="860">
        <f t="shared" si="0"/>
        <v>44</v>
      </c>
      <c r="AJ9" s="859"/>
      <c r="AK9" s="860">
        <f t="shared" si="1"/>
        <v>-44</v>
      </c>
      <c r="AL9" s="857"/>
      <c r="AM9" s="195"/>
      <c r="AN9" s="195"/>
      <c r="AP9" s="748" t="str">
        <f>About!B6</f>
        <v>Internal Rate of Return (IRR)</v>
      </c>
      <c r="AQ9" s="792">
        <f>About!C6</f>
        <v>0.13</v>
      </c>
      <c r="AR9" s="456"/>
      <c r="AS9" s="456"/>
      <c r="AT9" s="456"/>
      <c r="AU9" s="456"/>
      <c r="AV9" s="456"/>
      <c r="AW9" s="456"/>
    </row>
    <row r="10" spans="1:63" ht="12.75" x14ac:dyDescent="0.2">
      <c r="A10" s="198"/>
      <c r="B10" s="797" t="s">
        <v>103</v>
      </c>
      <c r="C10" s="867">
        <v>0.2</v>
      </c>
      <c r="D10" s="598"/>
      <c r="E10" s="160"/>
      <c r="F10" s="872">
        <v>0.25</v>
      </c>
      <c r="G10" s="611"/>
      <c r="H10" s="160"/>
      <c r="I10" s="873">
        <v>0.25</v>
      </c>
      <c r="J10" s="611"/>
      <c r="K10" s="160"/>
      <c r="L10" s="872">
        <v>0.2</v>
      </c>
      <c r="M10" s="611"/>
      <c r="N10" s="160"/>
      <c r="O10" s="872">
        <v>0.25</v>
      </c>
      <c r="P10" s="611"/>
      <c r="Q10" s="160"/>
      <c r="R10" s="872">
        <v>0.25</v>
      </c>
      <c r="S10" s="611"/>
      <c r="T10" s="160"/>
      <c r="U10" s="872">
        <v>0.25</v>
      </c>
      <c r="V10" s="611"/>
      <c r="W10" s="160"/>
      <c r="X10" s="872">
        <v>0.25</v>
      </c>
      <c r="Y10" s="611"/>
      <c r="Z10" s="160"/>
      <c r="AA10" s="455"/>
      <c r="AB10" s="456"/>
      <c r="AC10" s="456"/>
      <c r="AD10" s="856">
        <v>123</v>
      </c>
      <c r="AE10" s="899" t="s">
        <v>379</v>
      </c>
      <c r="AF10" s="858">
        <v>652</v>
      </c>
      <c r="AG10" s="859">
        <v>495</v>
      </c>
      <c r="AH10" s="859">
        <v>525</v>
      </c>
      <c r="AI10" s="860">
        <f t="shared" si="0"/>
        <v>30</v>
      </c>
      <c r="AJ10" s="859"/>
      <c r="AK10" s="860">
        <f t="shared" si="1"/>
        <v>-30</v>
      </c>
      <c r="AL10" s="857"/>
      <c r="AM10" s="195"/>
      <c r="AN10" s="195"/>
      <c r="AP10" s="748" t="str">
        <f>About!B7</f>
        <v>Expenses</v>
      </c>
      <c r="AQ10" s="749">
        <f>About!C7</f>
        <v>0.5</v>
      </c>
      <c r="AR10" s="456"/>
      <c r="AS10" s="456"/>
      <c r="AT10" s="456"/>
      <c r="AU10" s="456"/>
      <c r="AV10" s="456"/>
      <c r="AW10" s="456"/>
    </row>
    <row r="11" spans="1:63" ht="12.75" x14ac:dyDescent="0.2">
      <c r="A11" s="198"/>
      <c r="B11" s="797" t="s">
        <v>104</v>
      </c>
      <c r="C11" s="159">
        <f>C10*C7</f>
        <v>3000000</v>
      </c>
      <c r="D11" s="197"/>
      <c r="E11" s="160"/>
      <c r="F11" s="159">
        <f>F10*F7</f>
        <v>3750000</v>
      </c>
      <c r="G11" s="197"/>
      <c r="H11" s="160"/>
      <c r="I11" s="197">
        <f>I10*I7</f>
        <v>3750000</v>
      </c>
      <c r="J11" s="197"/>
      <c r="K11" s="160"/>
      <c r="L11" s="159">
        <f>L10*L7</f>
        <v>3100000</v>
      </c>
      <c r="M11" s="197"/>
      <c r="N11" s="160"/>
      <c r="O11" s="159">
        <f>O10*O7</f>
        <v>0</v>
      </c>
      <c r="P11" s="197"/>
      <c r="Q11" s="160"/>
      <c r="R11" s="159">
        <f>R10*R7</f>
        <v>0</v>
      </c>
      <c r="S11" s="197"/>
      <c r="T11" s="160"/>
      <c r="U11" s="159">
        <f>U10*U7</f>
        <v>0</v>
      </c>
      <c r="V11" s="197"/>
      <c r="W11" s="160"/>
      <c r="X11" s="159">
        <f>X10*X7</f>
        <v>0</v>
      </c>
      <c r="Y11" s="197"/>
      <c r="Z11" s="160"/>
      <c r="AA11" s="455"/>
      <c r="AB11" s="456"/>
      <c r="AC11" s="456"/>
      <c r="AD11" s="856">
        <v>125</v>
      </c>
      <c r="AE11" s="899" t="s">
        <v>380</v>
      </c>
      <c r="AF11" s="858">
        <v>946</v>
      </c>
      <c r="AG11" s="859">
        <v>595</v>
      </c>
      <c r="AH11" s="859">
        <v>625</v>
      </c>
      <c r="AI11" s="860">
        <f t="shared" si="0"/>
        <v>30</v>
      </c>
      <c r="AJ11" s="859"/>
      <c r="AK11" s="860">
        <f t="shared" si="1"/>
        <v>-30</v>
      </c>
      <c r="AL11" s="857"/>
      <c r="AM11" s="195"/>
      <c r="AN11" s="195"/>
      <c r="AP11" s="748" t="str">
        <f>About!B8</f>
        <v>% of Capital Returned With Refinance</v>
      </c>
      <c r="AQ11" s="749">
        <f>About!C8</f>
        <v>0.6</v>
      </c>
      <c r="AR11" s="456"/>
      <c r="AS11" s="456"/>
      <c r="AT11" s="456"/>
      <c r="AU11" s="456"/>
      <c r="AV11" s="456"/>
      <c r="AW11" s="456"/>
    </row>
    <row r="12" spans="1:63" ht="12.75" x14ac:dyDescent="0.2">
      <c r="A12" s="198"/>
      <c r="B12" s="797" t="s">
        <v>105</v>
      </c>
      <c r="C12" s="159">
        <f>C7-C11</f>
        <v>12000000</v>
      </c>
      <c r="D12" s="197"/>
      <c r="E12" s="160"/>
      <c r="F12" s="159">
        <f>F7-F11</f>
        <v>11250000</v>
      </c>
      <c r="G12" s="197"/>
      <c r="H12" s="160"/>
      <c r="I12" s="197">
        <f>I7-I11</f>
        <v>11250000</v>
      </c>
      <c r="J12" s="197"/>
      <c r="K12" s="160"/>
      <c r="L12" s="159">
        <f>L7-L11</f>
        <v>12400000</v>
      </c>
      <c r="M12" s="197"/>
      <c r="N12" s="160"/>
      <c r="O12" s="159">
        <f>O7-O11</f>
        <v>0</v>
      </c>
      <c r="P12" s="197"/>
      <c r="Q12" s="160"/>
      <c r="R12" s="159">
        <f>R7-R11</f>
        <v>0</v>
      </c>
      <c r="S12" s="197"/>
      <c r="T12" s="160"/>
      <c r="U12" s="159">
        <f>U7-U11</f>
        <v>0</v>
      </c>
      <c r="V12" s="197"/>
      <c r="W12" s="160"/>
      <c r="X12" s="159">
        <f>X7-X11</f>
        <v>0</v>
      </c>
      <c r="Y12" s="197"/>
      <c r="Z12" s="160"/>
      <c r="AA12" s="455"/>
      <c r="AB12" s="456"/>
      <c r="AC12" s="456"/>
      <c r="AD12" s="856"/>
      <c r="AE12" s="857"/>
      <c r="AF12" s="858"/>
      <c r="AG12" s="859"/>
      <c r="AH12" s="859"/>
      <c r="AI12" s="860">
        <f t="shared" si="0"/>
        <v>0</v>
      </c>
      <c r="AJ12" s="859"/>
      <c r="AK12" s="860">
        <f t="shared" si="1"/>
        <v>0</v>
      </c>
      <c r="AL12" s="857"/>
      <c r="AM12" s="195"/>
      <c r="AN12" s="195"/>
      <c r="AP12" s="748" t="str">
        <f>About!B9</f>
        <v>Average Cash on Cash (COC) Return</v>
      </c>
      <c r="AQ12" s="792">
        <f>About!C9</f>
        <v>0.09</v>
      </c>
      <c r="AR12" s="456"/>
      <c r="AS12" s="456"/>
      <c r="AT12" s="456"/>
      <c r="AU12" s="456"/>
      <c r="AV12" s="456"/>
      <c r="AW12" s="456"/>
    </row>
    <row r="13" spans="1:63" ht="12.75" x14ac:dyDescent="0.2">
      <c r="A13" s="198"/>
      <c r="B13" s="641" t="s">
        <v>319</v>
      </c>
      <c r="C13" s="162">
        <f>496000+488000</f>
        <v>984000</v>
      </c>
      <c r="D13" s="599"/>
      <c r="E13" s="160"/>
      <c r="F13" s="162">
        <f>C13</f>
        <v>984000</v>
      </c>
      <c r="G13" s="599"/>
      <c r="H13" s="163"/>
      <c r="I13" s="162">
        <f>F13</f>
        <v>984000</v>
      </c>
      <c r="J13" s="599"/>
      <c r="K13" s="163"/>
      <c r="L13" s="162">
        <f>I13</f>
        <v>984000</v>
      </c>
      <c r="M13" s="599"/>
      <c r="N13" s="163"/>
      <c r="O13" s="162">
        <f>L13</f>
        <v>984000</v>
      </c>
      <c r="P13" s="599"/>
      <c r="Q13" s="163"/>
      <c r="R13" s="162">
        <f>O13</f>
        <v>984000</v>
      </c>
      <c r="S13" s="599"/>
      <c r="T13" s="163"/>
      <c r="U13" s="162">
        <f>R13</f>
        <v>984000</v>
      </c>
      <c r="V13" s="599"/>
      <c r="W13" s="163"/>
      <c r="X13" s="162">
        <f>U13</f>
        <v>984000</v>
      </c>
      <c r="Y13" s="599"/>
      <c r="Z13" s="163"/>
      <c r="AA13" s="463"/>
      <c r="AB13" s="456"/>
      <c r="AC13" s="456"/>
      <c r="AD13" s="856"/>
      <c r="AE13" s="857"/>
      <c r="AF13" s="858"/>
      <c r="AG13" s="859"/>
      <c r="AH13" s="859"/>
      <c r="AI13" s="860">
        <f t="shared" si="0"/>
        <v>0</v>
      </c>
      <c r="AJ13" s="859"/>
      <c r="AK13" s="860">
        <f t="shared" si="1"/>
        <v>0</v>
      </c>
      <c r="AL13" s="857"/>
      <c r="AM13" s="195"/>
      <c r="AN13" s="195"/>
      <c r="AP13" s="748" t="str">
        <f>About!B10</f>
        <v>Replacement Reserves</v>
      </c>
      <c r="AQ13" s="791">
        <f>About!C10</f>
        <v>123000</v>
      </c>
      <c r="AR13" s="456"/>
      <c r="AS13" s="456"/>
      <c r="AT13" s="456"/>
      <c r="AU13" s="456"/>
      <c r="AV13" s="456"/>
      <c r="AW13" s="456"/>
    </row>
    <row r="14" spans="1:63" ht="12.75" x14ac:dyDescent="0.2">
      <c r="A14" s="198"/>
      <c r="B14" s="797" t="s">
        <v>371</v>
      </c>
      <c r="C14" s="159">
        <f>Summary!$D$18</f>
        <v>472054.94</v>
      </c>
      <c r="D14" s="197"/>
      <c r="E14" s="160"/>
      <c r="F14" s="159">
        <f>Summary!$D$18</f>
        <v>472054.94</v>
      </c>
      <c r="G14" s="197"/>
      <c r="H14" s="160"/>
      <c r="I14" s="159">
        <f>Summary!$D$18</f>
        <v>472054.94</v>
      </c>
      <c r="J14" s="197"/>
      <c r="K14" s="160"/>
      <c r="L14" s="159">
        <f>Summary!$D$18</f>
        <v>472054.94</v>
      </c>
      <c r="M14" s="197"/>
      <c r="N14" s="160"/>
      <c r="O14" s="159">
        <f>Summary!$D$18</f>
        <v>472054.94</v>
      </c>
      <c r="P14" s="197"/>
      <c r="Q14" s="160"/>
      <c r="R14" s="159">
        <f>Summary!$D$18</f>
        <v>472054.94</v>
      </c>
      <c r="S14" s="197"/>
      <c r="T14" s="160"/>
      <c r="U14" s="159">
        <f>Summary!$D$18</f>
        <v>472054.94</v>
      </c>
      <c r="V14" s="197"/>
      <c r="W14" s="160"/>
      <c r="X14" s="159">
        <f>Summary!$D$18</f>
        <v>472054.94</v>
      </c>
      <c r="Y14" s="197"/>
      <c r="Z14" s="160"/>
      <c r="AA14" s="455"/>
      <c r="AB14" s="456"/>
      <c r="AC14" s="456"/>
      <c r="AD14" s="856"/>
      <c r="AE14" s="857"/>
      <c r="AF14" s="858"/>
      <c r="AG14" s="859"/>
      <c r="AH14" s="859"/>
      <c r="AI14" s="860">
        <f t="shared" si="0"/>
        <v>0</v>
      </c>
      <c r="AJ14" s="859"/>
      <c r="AK14" s="860">
        <f t="shared" si="1"/>
        <v>0</v>
      </c>
      <c r="AL14" s="857"/>
      <c r="AM14" s="297"/>
      <c r="AN14" s="297"/>
      <c r="AO14" s="464"/>
      <c r="AP14" s="748" t="str">
        <f>About!B11</f>
        <v>Repairs and Reserves</v>
      </c>
      <c r="AQ14" s="791">
        <f>About!C11</f>
        <v>755825.36145833333</v>
      </c>
      <c r="AR14" s="456"/>
      <c r="AS14" s="456"/>
      <c r="AT14" s="456"/>
      <c r="AU14" s="456"/>
      <c r="AV14" s="456"/>
      <c r="AW14" s="456"/>
    </row>
    <row r="15" spans="1:63" ht="12.75" x14ac:dyDescent="0.2">
      <c r="A15" s="198"/>
      <c r="B15" s="797" t="s">
        <v>203</v>
      </c>
      <c r="C15" s="159">
        <f>C11+C13+C14</f>
        <v>4456054.9400000004</v>
      </c>
      <c r="D15" s="197"/>
      <c r="E15" s="160"/>
      <c r="F15" s="159">
        <f>F11+F13+F14</f>
        <v>5206054.9400000004</v>
      </c>
      <c r="G15" s="197"/>
      <c r="H15" s="160"/>
      <c r="I15" s="197">
        <f>I11+I13+I14</f>
        <v>5206054.9400000004</v>
      </c>
      <c r="J15" s="197"/>
      <c r="K15" s="160"/>
      <c r="L15" s="159">
        <f>L11+L13+L14</f>
        <v>4556054.9400000004</v>
      </c>
      <c r="M15" s="197"/>
      <c r="N15" s="160"/>
      <c r="O15" s="159">
        <f>O11+O13+O14</f>
        <v>1456054.94</v>
      </c>
      <c r="P15" s="197"/>
      <c r="Q15" s="160"/>
      <c r="R15" s="159">
        <f>R11+R13+R14</f>
        <v>1456054.94</v>
      </c>
      <c r="S15" s="197"/>
      <c r="T15" s="160"/>
      <c r="U15" s="159">
        <f>U11+U13+U14</f>
        <v>1456054.94</v>
      </c>
      <c r="V15" s="197"/>
      <c r="W15" s="160"/>
      <c r="X15" s="159">
        <f>X11+X13+X14</f>
        <v>1456054.94</v>
      </c>
      <c r="Y15" s="197"/>
      <c r="Z15" s="160"/>
      <c r="AA15" s="455"/>
      <c r="AB15" s="456"/>
      <c r="AC15" s="456"/>
      <c r="AD15" s="856"/>
      <c r="AE15" s="857"/>
      <c r="AF15" s="858"/>
      <c r="AG15" s="859"/>
      <c r="AH15" s="859"/>
      <c r="AI15" s="860">
        <f t="shared" si="0"/>
        <v>0</v>
      </c>
      <c r="AJ15" s="859"/>
      <c r="AK15" s="860">
        <f t="shared" si="1"/>
        <v>0</v>
      </c>
      <c r="AL15" s="857"/>
      <c r="AM15" s="195"/>
      <c r="AN15" s="195"/>
      <c r="AO15" s="464"/>
      <c r="AP15" s="748"/>
      <c r="AQ15" s="749"/>
      <c r="AR15" s="456"/>
      <c r="AS15" s="456"/>
      <c r="AT15" s="456"/>
      <c r="AU15" s="456"/>
      <c r="AV15" s="456"/>
      <c r="AW15" s="456"/>
    </row>
    <row r="16" spans="1:63" ht="13.5" thickBot="1" x14ac:dyDescent="0.25">
      <c r="A16" s="198"/>
      <c r="B16" s="798" t="s">
        <v>44</v>
      </c>
      <c r="C16" s="202">
        <f>C13+C7+C14</f>
        <v>16456054.939999999</v>
      </c>
      <c r="D16" s="600"/>
      <c r="E16" s="203"/>
      <c r="F16" s="202">
        <f>F13+F7+F14</f>
        <v>16456054.939999999</v>
      </c>
      <c r="G16" s="600"/>
      <c r="H16" s="203"/>
      <c r="I16" s="600">
        <f>I13+I7+I14</f>
        <v>16456054.939999999</v>
      </c>
      <c r="J16" s="600"/>
      <c r="K16" s="203"/>
      <c r="L16" s="202">
        <f>L13+L7+L14</f>
        <v>16956054.940000001</v>
      </c>
      <c r="M16" s="600"/>
      <c r="N16" s="203"/>
      <c r="O16" s="202">
        <f>O13+O7+O14</f>
        <v>1456054.94</v>
      </c>
      <c r="P16" s="600"/>
      <c r="Q16" s="203"/>
      <c r="R16" s="202">
        <f>R13+R7+R14</f>
        <v>1456054.94</v>
      </c>
      <c r="S16" s="600"/>
      <c r="T16" s="203"/>
      <c r="U16" s="202">
        <f>U13+U7+U14</f>
        <v>1456054.94</v>
      </c>
      <c r="V16" s="600"/>
      <c r="W16" s="203"/>
      <c r="X16" s="202">
        <f>X13+X7+X14</f>
        <v>1456054.94</v>
      </c>
      <c r="Y16" s="600"/>
      <c r="Z16" s="203"/>
      <c r="AA16" s="455"/>
      <c r="AB16" s="456"/>
      <c r="AC16" s="456"/>
      <c r="AD16" s="856"/>
      <c r="AE16" s="857"/>
      <c r="AF16" s="863"/>
      <c r="AG16" s="859"/>
      <c r="AH16" s="859"/>
      <c r="AI16" s="860">
        <f t="shared" si="0"/>
        <v>0</v>
      </c>
      <c r="AJ16" s="859"/>
      <c r="AK16" s="860">
        <f t="shared" si="1"/>
        <v>0</v>
      </c>
      <c r="AL16" s="857"/>
      <c r="AM16" s="195"/>
      <c r="AN16" s="195"/>
      <c r="AO16" s="464"/>
      <c r="AP16" s="748"/>
      <c r="AQ16" s="749"/>
      <c r="AR16" s="456"/>
      <c r="AS16" s="456"/>
      <c r="AT16" s="456"/>
      <c r="AU16" s="456"/>
      <c r="AV16" s="456"/>
      <c r="AW16" s="456"/>
    </row>
    <row r="17" spans="1:63" s="148" customFormat="1" ht="12" thickBot="1" x14ac:dyDescent="0.25">
      <c r="A17" s="200"/>
      <c r="B17" s="200"/>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455"/>
      <c r="AB17" s="464"/>
      <c r="AC17" s="464"/>
      <c r="AD17" s="201"/>
      <c r="AE17" s="297"/>
      <c r="AF17" s="298"/>
      <c r="AG17" s="200"/>
      <c r="AH17" s="200"/>
      <c r="AI17" s="200"/>
      <c r="AJ17" s="200"/>
      <c r="AK17" s="200"/>
      <c r="AL17" s="200"/>
      <c r="AM17" s="200"/>
      <c r="AN17" s="200"/>
      <c r="AO17" s="464"/>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row>
    <row r="18" spans="1:63" ht="12" thickBot="1" x14ac:dyDescent="0.25">
      <c r="A18" s="198"/>
      <c r="B18" s="176" t="s">
        <v>48</v>
      </c>
      <c r="C18" s="177"/>
      <c r="D18" s="603"/>
      <c r="E18" s="572"/>
      <c r="F18" s="177"/>
      <c r="G18" s="603"/>
      <c r="H18" s="572"/>
      <c r="I18" s="177"/>
      <c r="J18" s="603"/>
      <c r="K18" s="572"/>
      <c r="L18" s="177"/>
      <c r="M18" s="603"/>
      <c r="N18" s="572"/>
      <c r="O18" s="177"/>
      <c r="P18" s="603"/>
      <c r="Q18" s="572"/>
      <c r="R18" s="177"/>
      <c r="S18" s="603"/>
      <c r="T18" s="572"/>
      <c r="U18" s="177"/>
      <c r="V18" s="603"/>
      <c r="W18" s="572"/>
      <c r="X18" s="177"/>
      <c r="Y18" s="603"/>
      <c r="Z18" s="572"/>
      <c r="AA18" s="457"/>
      <c r="AB18" s="456"/>
      <c r="AC18" s="456"/>
      <c r="AD18" s="300"/>
      <c r="AE18" s="299"/>
      <c r="AF18" s="301"/>
      <c r="AG18" s="200"/>
      <c r="AH18" s="200"/>
      <c r="AI18" s="200"/>
      <c r="AJ18" s="200"/>
      <c r="AK18" s="200"/>
      <c r="AL18" s="200"/>
      <c r="AM18" s="200"/>
      <c r="AN18" s="148"/>
      <c r="AO18" s="464"/>
      <c r="AP18" s="456"/>
      <c r="AQ18" s="456"/>
      <c r="AR18" s="456"/>
      <c r="AS18" s="456"/>
      <c r="AT18" s="456"/>
      <c r="AU18" s="456"/>
      <c r="AV18" s="456"/>
      <c r="AW18" s="456"/>
    </row>
    <row r="19" spans="1:63" ht="12" thickBot="1" x14ac:dyDescent="0.25">
      <c r="A19" s="198"/>
      <c r="B19" s="640" t="s">
        <v>245</v>
      </c>
      <c r="C19" s="159">
        <f>IF(C20=0,0,C20/12/C8)</f>
        <v>564.40633468834687</v>
      </c>
      <c r="D19" s="638"/>
      <c r="E19" s="639"/>
      <c r="F19" s="159">
        <f>IF(F20=0,0,F20/12/F8)</f>
        <v>564.40633468834687</v>
      </c>
      <c r="G19" s="191"/>
      <c r="H19" s="191"/>
      <c r="I19" s="159">
        <f>IF(I20=0,0,I20/12/I8)</f>
        <v>564.40633468834687</v>
      </c>
      <c r="J19" s="191"/>
      <c r="K19" s="191"/>
      <c r="L19" s="159">
        <f>IF(L20=0,0,L20/12/L8)</f>
        <v>564.40633468834687</v>
      </c>
      <c r="M19" s="634"/>
      <c r="N19" s="635"/>
      <c r="O19" s="159">
        <f>IF(O20=0,0,O20/12/O8)</f>
        <v>564.40633468834687</v>
      </c>
      <c r="P19" s="634"/>
      <c r="Q19" s="635"/>
      <c r="R19" s="159">
        <f>IF(R20=0,0,R20/12/R8)</f>
        <v>564.40633468834687</v>
      </c>
      <c r="S19" s="634"/>
      <c r="T19" s="635"/>
      <c r="U19" s="159">
        <f>IF(U20=0,0,U20/12/U8)</f>
        <v>564.40633468834687</v>
      </c>
      <c r="V19" s="634"/>
      <c r="W19" s="635"/>
      <c r="X19" s="159">
        <f>IF(X20=0,0,X20/12/X8)</f>
        <v>564.40633468834687</v>
      </c>
      <c r="Y19" s="634"/>
      <c r="Z19" s="635"/>
      <c r="AA19" s="191"/>
      <c r="AB19" s="109"/>
      <c r="AC19" s="109"/>
      <c r="AD19" s="300"/>
      <c r="AE19" s="299"/>
      <c r="AF19" s="301"/>
      <c r="AG19" s="200"/>
      <c r="AH19" s="200"/>
      <c r="AI19" s="200"/>
      <c r="AJ19" s="200"/>
      <c r="AK19" s="200"/>
      <c r="AL19" s="200"/>
      <c r="AM19" s="200"/>
      <c r="AN19" s="200"/>
      <c r="AO19" s="200"/>
      <c r="AP19" s="109"/>
      <c r="AQ19" s="109"/>
      <c r="AR19" s="109"/>
      <c r="AS19" s="109"/>
      <c r="AT19" s="109"/>
      <c r="AU19" s="109"/>
      <c r="AV19" s="109"/>
      <c r="AW19" s="109"/>
    </row>
    <row r="20" spans="1:63" ht="16.5" thickBot="1" x14ac:dyDescent="0.25">
      <c r="A20" s="198"/>
      <c r="B20" s="641" t="s">
        <v>45</v>
      </c>
      <c r="C20" s="874">
        <f>1638000+1694255</f>
        <v>3332255</v>
      </c>
      <c r="D20" s="302"/>
      <c r="E20" s="637"/>
      <c r="F20" s="874">
        <f>C20</f>
        <v>3332255</v>
      </c>
      <c r="G20" s="302"/>
      <c r="H20" s="637"/>
      <c r="I20" s="636">
        <f>F20</f>
        <v>3332255</v>
      </c>
      <c r="J20" s="302"/>
      <c r="K20" s="637"/>
      <c r="L20" s="874">
        <f>I20</f>
        <v>3332255</v>
      </c>
      <c r="M20" s="302"/>
      <c r="N20" s="637"/>
      <c r="O20" s="874">
        <f>L20</f>
        <v>3332255</v>
      </c>
      <c r="P20" s="302"/>
      <c r="Q20" s="637"/>
      <c r="R20" s="874">
        <f>O20</f>
        <v>3332255</v>
      </c>
      <c r="S20" s="302"/>
      <c r="T20" s="637"/>
      <c r="U20" s="874">
        <f>R20</f>
        <v>3332255</v>
      </c>
      <c r="V20" s="302"/>
      <c r="W20" s="637"/>
      <c r="X20" s="874">
        <f>U20</f>
        <v>3332255</v>
      </c>
      <c r="Y20" s="302"/>
      <c r="Z20" s="637"/>
      <c r="AA20" s="465"/>
      <c r="AB20" s="456"/>
      <c r="AC20" s="456"/>
      <c r="AD20" s="440" t="s">
        <v>210</v>
      </c>
      <c r="AE20" s="299"/>
      <c r="AF20" s="302"/>
      <c r="AG20" s="200"/>
      <c r="AH20" s="200"/>
      <c r="AI20" s="200"/>
      <c r="AJ20" s="200"/>
      <c r="AK20" s="200"/>
      <c r="AL20" s="200"/>
      <c r="AM20" s="200"/>
      <c r="AN20" s="200"/>
      <c r="AO20" s="464"/>
      <c r="AP20" s="456"/>
      <c r="AQ20" s="456"/>
      <c r="AR20" s="456"/>
      <c r="AS20" s="456"/>
      <c r="AT20" s="456"/>
      <c r="AU20" s="456"/>
      <c r="AV20" s="456"/>
      <c r="AW20" s="456"/>
    </row>
    <row r="21" spans="1:63" x14ac:dyDescent="0.2">
      <c r="A21" s="198"/>
      <c r="B21" s="642" t="s">
        <v>47</v>
      </c>
      <c r="C21" s="875">
        <f>-78600-80021</f>
        <v>-158621</v>
      </c>
      <c r="D21" s="601"/>
      <c r="E21" s="167">
        <f>IF(C20=0,0,-C21/C20)</f>
        <v>4.7601699149674923E-2</v>
      </c>
      <c r="F21" s="294">
        <f>-H21*F20</f>
        <v>-166612.75</v>
      </c>
      <c r="G21" s="612"/>
      <c r="H21" s="876">
        <v>0.05</v>
      </c>
      <c r="I21" s="294">
        <f>-K21*I20</f>
        <v>-333225.5</v>
      </c>
      <c r="J21" s="612"/>
      <c r="K21" s="168">
        <v>0.1</v>
      </c>
      <c r="L21" s="294">
        <f>-N21*L20</f>
        <v>-166612.75</v>
      </c>
      <c r="M21" s="612"/>
      <c r="N21" s="876">
        <v>0.05</v>
      </c>
      <c r="O21" s="294">
        <f>-Q21*O20</f>
        <v>-333225.5</v>
      </c>
      <c r="P21" s="612"/>
      <c r="Q21" s="876">
        <v>0.1</v>
      </c>
      <c r="R21" s="294">
        <f>-T21*R20</f>
        <v>-333225.5</v>
      </c>
      <c r="S21" s="612"/>
      <c r="T21" s="876">
        <v>0.1</v>
      </c>
      <c r="U21" s="294">
        <f>-W21*U20</f>
        <v>-333225.5</v>
      </c>
      <c r="V21" s="612"/>
      <c r="W21" s="876">
        <v>0.1</v>
      </c>
      <c r="X21" s="294">
        <f>-Z21*X20</f>
        <v>-333225.5</v>
      </c>
      <c r="Y21" s="612"/>
      <c r="Z21" s="876">
        <v>0.1</v>
      </c>
      <c r="AA21" s="466"/>
      <c r="AB21" s="456"/>
      <c r="AC21" s="456"/>
      <c r="AD21" s="436" t="s">
        <v>35</v>
      </c>
      <c r="AE21" s="434">
        <f>L7</f>
        <v>15500000</v>
      </c>
      <c r="AF21" s="435"/>
      <c r="AG21" s="437"/>
      <c r="AH21" s="435"/>
      <c r="AI21" s="435"/>
      <c r="AJ21" s="435"/>
      <c r="AK21" s="435"/>
      <c r="AL21" s="435"/>
      <c r="AM21" s="438"/>
      <c r="AN21" s="200"/>
      <c r="AO21" s="464"/>
      <c r="AP21" s="456"/>
      <c r="AQ21" s="456"/>
      <c r="AR21" s="456"/>
      <c r="AS21" s="456"/>
      <c r="AT21" s="456"/>
      <c r="AU21" s="456"/>
      <c r="AV21" s="456"/>
      <c r="AW21" s="456"/>
    </row>
    <row r="22" spans="1:63" x14ac:dyDescent="0.2">
      <c r="A22" s="198"/>
      <c r="B22" s="642" t="s">
        <v>206</v>
      </c>
      <c r="C22" s="875">
        <f>-96434-117153</f>
        <v>-213587</v>
      </c>
      <c r="D22" s="601"/>
      <c r="E22" s="167">
        <f>IF(C20=0,0,-C22/C20)</f>
        <v>6.4096835326228035E-2</v>
      </c>
      <c r="F22" s="294">
        <f>-H22*F20</f>
        <v>-216596.57500000001</v>
      </c>
      <c r="G22" s="612"/>
      <c r="H22" s="876">
        <v>6.5000000000000002E-2</v>
      </c>
      <c r="I22" s="294">
        <f>-K22*I20</f>
        <v>0</v>
      </c>
      <c r="J22" s="612"/>
      <c r="K22" s="168">
        <v>0</v>
      </c>
      <c r="L22" s="294">
        <f>-N22*L20</f>
        <v>-216596.57500000001</v>
      </c>
      <c r="M22" s="612"/>
      <c r="N22" s="876">
        <v>6.5000000000000002E-2</v>
      </c>
      <c r="O22" s="294">
        <f>-Q22*O20</f>
        <v>0</v>
      </c>
      <c r="P22" s="612"/>
      <c r="Q22" s="876">
        <v>0</v>
      </c>
      <c r="R22" s="294">
        <f>-T22*R20</f>
        <v>0</v>
      </c>
      <c r="S22" s="612"/>
      <c r="T22" s="876">
        <v>0</v>
      </c>
      <c r="U22" s="294">
        <f>-W22*U20</f>
        <v>0</v>
      </c>
      <c r="V22" s="612"/>
      <c r="W22" s="876">
        <v>0</v>
      </c>
      <c r="X22" s="294">
        <f>-Z22*X20</f>
        <v>0</v>
      </c>
      <c r="Y22" s="612"/>
      <c r="Z22" s="876">
        <v>0</v>
      </c>
      <c r="AA22" s="466"/>
      <c r="AB22" s="456"/>
      <c r="AC22" s="456"/>
      <c r="AD22" s="303" t="s">
        <v>23</v>
      </c>
      <c r="AE22" s="298">
        <f>L8</f>
        <v>492</v>
      </c>
      <c r="AF22" s="148"/>
      <c r="AG22" s="302"/>
      <c r="AH22" s="200"/>
      <c r="AI22" s="200"/>
      <c r="AJ22" s="200"/>
      <c r="AK22" s="200"/>
      <c r="AL22" s="200"/>
      <c r="AM22" s="305"/>
      <c r="AN22" s="200"/>
      <c r="AO22" s="464"/>
      <c r="AP22" s="456"/>
      <c r="AQ22" s="456"/>
      <c r="AR22" s="456"/>
      <c r="AS22" s="456"/>
      <c r="AT22" s="456"/>
      <c r="AU22" s="456"/>
      <c r="AV22" s="456"/>
      <c r="AW22" s="456"/>
    </row>
    <row r="23" spans="1:63" x14ac:dyDescent="0.2">
      <c r="A23" s="198"/>
      <c r="B23" s="641" t="s">
        <v>46</v>
      </c>
      <c r="C23" s="159">
        <f>SUM(C20:C22)</f>
        <v>2960047</v>
      </c>
      <c r="D23" s="197"/>
      <c r="E23" s="160"/>
      <c r="F23" s="159">
        <f>SUM(F20:F22)</f>
        <v>2949045.6749999998</v>
      </c>
      <c r="G23" s="197"/>
      <c r="H23" s="160"/>
      <c r="I23" s="159">
        <f>SUM(I20:I22)</f>
        <v>2999029.5</v>
      </c>
      <c r="J23" s="197"/>
      <c r="K23" s="160"/>
      <c r="L23" s="159">
        <f>SUM(L20:L22)</f>
        <v>2949045.6749999998</v>
      </c>
      <c r="M23" s="197"/>
      <c r="N23" s="160"/>
      <c r="O23" s="159">
        <f>SUM(O20:O22)</f>
        <v>2999029.5</v>
      </c>
      <c r="P23" s="197"/>
      <c r="Q23" s="879"/>
      <c r="R23" s="159">
        <f>SUM(R20:R22)</f>
        <v>2999029.5</v>
      </c>
      <c r="S23" s="197"/>
      <c r="T23" s="160"/>
      <c r="U23" s="159">
        <f>SUM(U20:U22)</f>
        <v>2999029.5</v>
      </c>
      <c r="V23" s="197"/>
      <c r="W23" s="160"/>
      <c r="X23" s="159">
        <f>SUM(X20:X22)</f>
        <v>2999029.5</v>
      </c>
      <c r="Y23" s="197"/>
      <c r="Z23" s="160"/>
      <c r="AA23" s="455"/>
      <c r="AB23" s="456"/>
      <c r="AC23" s="456"/>
      <c r="AD23" s="303" t="s">
        <v>46</v>
      </c>
      <c r="AE23" s="304">
        <f>L25</f>
        <v>3100261.6749999998</v>
      </c>
      <c r="AF23" s="306"/>
      <c r="AG23" s="200"/>
      <c r="AH23" s="200"/>
      <c r="AI23" s="200"/>
      <c r="AJ23" s="200"/>
      <c r="AK23" s="200"/>
      <c r="AL23" s="200"/>
      <c r="AM23" s="305"/>
      <c r="AN23" s="200"/>
      <c r="AO23" s="464"/>
      <c r="AP23" s="456"/>
      <c r="AQ23" s="456"/>
      <c r="AR23" s="456"/>
      <c r="AS23" s="456"/>
      <c r="AT23" s="456"/>
      <c r="AU23" s="456"/>
      <c r="AV23" s="456"/>
      <c r="AW23" s="456"/>
    </row>
    <row r="24" spans="1:63" x14ac:dyDescent="0.2">
      <c r="A24" s="198"/>
      <c r="B24" s="641" t="s">
        <v>25</v>
      </c>
      <c r="C24" s="865">
        <f>73430+77786</f>
        <v>151216</v>
      </c>
      <c r="D24" s="599"/>
      <c r="E24" s="167"/>
      <c r="F24" s="865">
        <f>C24</f>
        <v>151216</v>
      </c>
      <c r="G24" s="599"/>
      <c r="H24" s="169"/>
      <c r="I24" s="162">
        <f>F24</f>
        <v>151216</v>
      </c>
      <c r="J24" s="599"/>
      <c r="K24" s="169"/>
      <c r="L24" s="865">
        <f>I24</f>
        <v>151216</v>
      </c>
      <c r="M24" s="599"/>
      <c r="N24" s="169"/>
      <c r="O24" s="865">
        <f>L24</f>
        <v>151216</v>
      </c>
      <c r="P24" s="599"/>
      <c r="Q24" s="169"/>
      <c r="R24" s="865">
        <f>O24</f>
        <v>151216</v>
      </c>
      <c r="S24" s="599"/>
      <c r="T24" s="169"/>
      <c r="U24" s="865">
        <f>R24</f>
        <v>151216</v>
      </c>
      <c r="V24" s="599"/>
      <c r="W24" s="169"/>
      <c r="X24" s="865">
        <f>U24</f>
        <v>151216</v>
      </c>
      <c r="Y24" s="599"/>
      <c r="Z24" s="169"/>
      <c r="AA24" s="467"/>
      <c r="AB24" s="456"/>
      <c r="AC24" s="456"/>
      <c r="AD24" s="307"/>
      <c r="AE24" s="308"/>
      <c r="AF24" s="309"/>
      <c r="AG24" s="310"/>
      <c r="AH24" s="310"/>
      <c r="AI24" s="310"/>
      <c r="AJ24" s="310"/>
      <c r="AK24" s="310"/>
      <c r="AL24" s="310"/>
      <c r="AM24" s="311"/>
      <c r="AN24" s="200"/>
      <c r="AO24" s="464"/>
      <c r="AP24" s="456"/>
      <c r="AQ24" s="456"/>
      <c r="AR24" s="456"/>
      <c r="AS24" s="456"/>
      <c r="AT24" s="456"/>
      <c r="AU24" s="456"/>
      <c r="AV24" s="456"/>
      <c r="AW24" s="456"/>
    </row>
    <row r="25" spans="1:63" ht="12" customHeight="1" thickBot="1" x14ac:dyDescent="0.25">
      <c r="A25" s="198"/>
      <c r="B25" s="643" t="s">
        <v>184</v>
      </c>
      <c r="C25" s="192">
        <f>C23+C24</f>
        <v>3111263</v>
      </c>
      <c r="D25" s="602"/>
      <c r="E25" s="193"/>
      <c r="F25" s="192">
        <f>F23+F24</f>
        <v>3100261.6749999998</v>
      </c>
      <c r="G25" s="602"/>
      <c r="H25" s="193"/>
      <c r="I25" s="192">
        <f>I23+I24</f>
        <v>3150245.5</v>
      </c>
      <c r="J25" s="602"/>
      <c r="K25" s="193"/>
      <c r="L25" s="192">
        <f>L23+L24</f>
        <v>3100261.6749999998</v>
      </c>
      <c r="M25" s="602"/>
      <c r="N25" s="193"/>
      <c r="O25" s="192">
        <f>O23+O24</f>
        <v>3150245.5</v>
      </c>
      <c r="P25" s="602"/>
      <c r="Q25" s="193"/>
      <c r="R25" s="192">
        <f>R23+R24</f>
        <v>3150245.5</v>
      </c>
      <c r="S25" s="602"/>
      <c r="T25" s="193"/>
      <c r="U25" s="192">
        <f>U23+U24</f>
        <v>3150245.5</v>
      </c>
      <c r="V25" s="602"/>
      <c r="W25" s="193"/>
      <c r="X25" s="192">
        <f>X23+X24</f>
        <v>3150245.5</v>
      </c>
      <c r="Y25" s="602"/>
      <c r="Z25" s="193"/>
      <c r="AA25" s="457"/>
      <c r="AB25" s="456"/>
      <c r="AC25" s="456"/>
      <c r="AD25" s="312"/>
      <c r="AE25" s="977" t="s">
        <v>145</v>
      </c>
      <c r="AF25" s="978"/>
      <c r="AG25" s="979"/>
      <c r="AH25" s="980" t="s">
        <v>146</v>
      </c>
      <c r="AI25" s="978"/>
      <c r="AJ25" s="980" t="s">
        <v>147</v>
      </c>
      <c r="AK25" s="978"/>
      <c r="AL25" s="974" t="s">
        <v>148</v>
      </c>
      <c r="AM25" s="975"/>
      <c r="AN25" s="200"/>
      <c r="AO25" s="464"/>
      <c r="AP25" s="456"/>
      <c r="AQ25" s="456"/>
      <c r="AR25" s="456"/>
      <c r="AS25" s="456"/>
      <c r="AT25" s="456"/>
      <c r="AU25" s="456"/>
      <c r="AV25" s="456"/>
      <c r="AW25" s="456"/>
    </row>
    <row r="26" spans="1:63" ht="12" customHeight="1" thickBot="1" x14ac:dyDescent="0.25">
      <c r="A26" s="198"/>
      <c r="B26" s="190"/>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457"/>
      <c r="AB26" s="456"/>
      <c r="AC26" s="456"/>
      <c r="AD26" s="313"/>
      <c r="AE26" s="314"/>
      <c r="AF26" s="976" t="s">
        <v>149</v>
      </c>
      <c r="AG26" s="976"/>
      <c r="AH26" s="315"/>
      <c r="AI26" s="316"/>
      <c r="AJ26" s="317" t="s">
        <v>150</v>
      </c>
      <c r="AK26" s="317" t="s">
        <v>151</v>
      </c>
      <c r="AL26" s="318"/>
      <c r="AM26" s="319"/>
      <c r="AN26" s="200"/>
      <c r="AO26" s="464"/>
      <c r="AP26" s="456"/>
      <c r="AQ26" s="456"/>
      <c r="AR26" s="456"/>
      <c r="AS26" s="456"/>
      <c r="AT26" s="456"/>
      <c r="AU26" s="456"/>
      <c r="AV26" s="456"/>
      <c r="AW26" s="456"/>
    </row>
    <row r="27" spans="1:63" ht="12" thickBot="1" x14ac:dyDescent="0.25">
      <c r="A27" s="198"/>
      <c r="B27" s="176" t="s">
        <v>49</v>
      </c>
      <c r="C27" s="177"/>
      <c r="D27" s="608" t="s">
        <v>83</v>
      </c>
      <c r="E27" s="572"/>
      <c r="F27" s="177"/>
      <c r="G27" s="608" t="s">
        <v>83</v>
      </c>
      <c r="H27" s="184"/>
      <c r="I27" s="177"/>
      <c r="J27" s="608" t="s">
        <v>83</v>
      </c>
      <c r="K27" s="184"/>
      <c r="L27" s="177"/>
      <c r="M27" s="608" t="s">
        <v>83</v>
      </c>
      <c r="N27" s="184"/>
      <c r="O27" s="177"/>
      <c r="P27" s="608" t="s">
        <v>83</v>
      </c>
      <c r="Q27" s="184"/>
      <c r="R27" s="177"/>
      <c r="S27" s="608" t="s">
        <v>83</v>
      </c>
      <c r="T27" s="184"/>
      <c r="U27" s="177"/>
      <c r="V27" s="608" t="s">
        <v>83</v>
      </c>
      <c r="W27" s="184"/>
      <c r="X27" s="177"/>
      <c r="Y27" s="608" t="s">
        <v>83</v>
      </c>
      <c r="Z27" s="184"/>
      <c r="AA27" s="457"/>
      <c r="AB27" s="456"/>
      <c r="AC27" s="456"/>
      <c r="AD27" s="320" t="s">
        <v>49</v>
      </c>
      <c r="AE27" s="321" t="s">
        <v>152</v>
      </c>
      <c r="AF27" s="322" t="s">
        <v>42</v>
      </c>
      <c r="AG27" s="322" t="s">
        <v>83</v>
      </c>
      <c r="AH27" s="322" t="s">
        <v>83</v>
      </c>
      <c r="AI27" s="322" t="s">
        <v>42</v>
      </c>
      <c r="AJ27" s="322" t="s">
        <v>83</v>
      </c>
      <c r="AK27" s="323" t="s">
        <v>83</v>
      </c>
      <c r="AL27" s="324" t="s">
        <v>149</v>
      </c>
      <c r="AM27" s="325" t="s">
        <v>152</v>
      </c>
      <c r="AN27" s="200"/>
      <c r="AO27" s="464"/>
      <c r="AP27" s="456"/>
      <c r="AQ27" s="456"/>
      <c r="AR27" s="456"/>
      <c r="AS27" s="456"/>
      <c r="AT27" s="456"/>
      <c r="AU27" s="456"/>
      <c r="AV27" s="456"/>
      <c r="AW27" s="456"/>
    </row>
    <row r="28" spans="1:63" x14ac:dyDescent="0.2">
      <c r="A28" s="198"/>
      <c r="B28" s="151" t="str">
        <f>'P&amp;L'!B16</f>
        <v>Real Estate Taxes</v>
      </c>
      <c r="C28" s="865">
        <f>29326+37908</f>
        <v>67234</v>
      </c>
      <c r="D28" s="197">
        <f t="shared" ref="D28:D41" si="2">C28/$C$8</f>
        <v>136.65447154471545</v>
      </c>
      <c r="E28" s="172">
        <f>IF(C$25=0,0,C28/C$25)</f>
        <v>2.1609873546530781E-2</v>
      </c>
      <c r="F28" s="865">
        <f t="shared" ref="F28:F35" si="3">C28</f>
        <v>67234</v>
      </c>
      <c r="G28" s="197">
        <f t="shared" ref="G28:G41" si="4">F28/$C$8</f>
        <v>136.65447154471545</v>
      </c>
      <c r="H28" s="358">
        <f t="shared" ref="H28:H34" si="5">IF(F$25=0,0,F28/F$25)</f>
        <v>2.1686556506556823E-2</v>
      </c>
      <c r="I28" s="865">
        <f t="shared" ref="I28:I35" si="6">F28</f>
        <v>67234</v>
      </c>
      <c r="J28" s="197">
        <f t="shared" ref="J28:J41" si="7">I28/$C$8</f>
        <v>136.65447154471545</v>
      </c>
      <c r="K28" s="358">
        <f t="shared" ref="K28:K35" si="8">IF(I$25=0,0,I28/I$25)</f>
        <v>2.134246362704113E-2</v>
      </c>
      <c r="L28" s="865">
        <f t="shared" ref="L28:L35" si="9">I28</f>
        <v>67234</v>
      </c>
      <c r="M28" s="197">
        <f t="shared" ref="M28:M41" si="10">L28/$C$8</f>
        <v>136.65447154471545</v>
      </c>
      <c r="N28" s="358">
        <f t="shared" ref="N28:N35" si="11">IF(L$25=0,0,L28/L$25)</f>
        <v>2.1686556506556823E-2</v>
      </c>
      <c r="O28" s="865">
        <f t="shared" ref="O28:O35" si="12">L28</f>
        <v>67234</v>
      </c>
      <c r="P28" s="197">
        <f t="shared" ref="P28:P41" si="13">O28/$C$8</f>
        <v>136.65447154471545</v>
      </c>
      <c r="Q28" s="358">
        <f t="shared" ref="Q28:Q35" si="14">IF(O$25=0,0,O28/O$25)</f>
        <v>2.134246362704113E-2</v>
      </c>
      <c r="R28" s="865">
        <f t="shared" ref="R28:R35" si="15">O28</f>
        <v>67234</v>
      </c>
      <c r="S28" s="197">
        <f t="shared" ref="S28:S41" si="16">R28/$C$8</f>
        <v>136.65447154471545</v>
      </c>
      <c r="T28" s="358">
        <f t="shared" ref="T28:T35" si="17">IF(R$25=0,0,R28/R$25)</f>
        <v>2.134246362704113E-2</v>
      </c>
      <c r="U28" s="865">
        <f t="shared" ref="U28:U35" si="18">R28</f>
        <v>67234</v>
      </c>
      <c r="V28" s="197">
        <f t="shared" ref="V28:V41" si="19">U28/$C$8</f>
        <v>136.65447154471545</v>
      </c>
      <c r="W28" s="358">
        <f t="shared" ref="W28:W35" si="20">IF(U$25=0,0,U28/U$25)</f>
        <v>2.134246362704113E-2</v>
      </c>
      <c r="X28" s="864">
        <f t="shared" ref="X28:X35" si="21">U28</f>
        <v>67234</v>
      </c>
      <c r="Y28" s="652">
        <f t="shared" ref="Y28:Y41" si="22">X28/$C$8</f>
        <v>136.65447154471545</v>
      </c>
      <c r="Z28" s="172">
        <f t="shared" ref="Z28:Z35" si="23">IF(X$25=0,0,X28/X$25)</f>
        <v>2.134246362704113E-2</v>
      </c>
      <c r="AA28" s="468"/>
      <c r="AB28" s="456"/>
      <c r="AC28" s="456"/>
      <c r="AD28" s="326" t="s">
        <v>26</v>
      </c>
      <c r="AE28" s="719" t="s">
        <v>153</v>
      </c>
      <c r="AF28" s="327">
        <f>0.01*AE21</f>
        <v>155000</v>
      </c>
      <c r="AG28" s="328">
        <f>AF28/$AE$22</f>
        <v>315.04065040650408</v>
      </c>
      <c r="AH28" s="328"/>
      <c r="AI28" s="329"/>
      <c r="AJ28" s="316"/>
      <c r="AK28" s="330"/>
      <c r="AL28" s="331">
        <f t="shared" ref="AL28:AL37" si="24">AF28</f>
        <v>155000</v>
      </c>
      <c r="AM28" s="332"/>
      <c r="AN28" s="200"/>
      <c r="AO28" s="464"/>
      <c r="AP28" s="456"/>
      <c r="AQ28" s="456"/>
      <c r="AR28" s="456"/>
      <c r="AS28" s="456"/>
      <c r="AT28" s="456"/>
      <c r="AU28" s="456"/>
      <c r="AV28" s="456"/>
      <c r="AW28" s="456"/>
    </row>
    <row r="29" spans="1:63" x14ac:dyDescent="0.2">
      <c r="A29" s="198"/>
      <c r="B29" s="151" t="str">
        <f>'P&amp;L'!B17</f>
        <v>Insurance</v>
      </c>
      <c r="C29" s="865">
        <f>52184+54260</f>
        <v>106444</v>
      </c>
      <c r="D29" s="197">
        <f t="shared" si="2"/>
        <v>216.34959349593495</v>
      </c>
      <c r="E29" s="167">
        <f t="shared" ref="E29:E41" si="25">IF($C$25=0,0,C29/C$25)</f>
        <v>3.4212472555357747E-2</v>
      </c>
      <c r="F29" s="865">
        <f>AF29</f>
        <v>123000</v>
      </c>
      <c r="G29" s="197">
        <f t="shared" si="4"/>
        <v>250</v>
      </c>
      <c r="H29" s="358">
        <f t="shared" si="5"/>
        <v>3.9674070415362604E-2</v>
      </c>
      <c r="I29" s="865">
        <f t="shared" si="6"/>
        <v>123000</v>
      </c>
      <c r="J29" s="197">
        <f t="shared" si="7"/>
        <v>250</v>
      </c>
      <c r="K29" s="358">
        <f t="shared" si="8"/>
        <v>3.9044576049707874E-2</v>
      </c>
      <c r="L29" s="865">
        <f t="shared" si="9"/>
        <v>123000</v>
      </c>
      <c r="M29" s="197">
        <f t="shared" si="10"/>
        <v>250</v>
      </c>
      <c r="N29" s="358">
        <f t="shared" si="11"/>
        <v>3.9674070415362604E-2</v>
      </c>
      <c r="O29" s="865">
        <f t="shared" si="12"/>
        <v>123000</v>
      </c>
      <c r="P29" s="197">
        <f t="shared" si="13"/>
        <v>250</v>
      </c>
      <c r="Q29" s="358">
        <f t="shared" si="14"/>
        <v>3.9044576049707874E-2</v>
      </c>
      <c r="R29" s="865">
        <f t="shared" si="15"/>
        <v>123000</v>
      </c>
      <c r="S29" s="197">
        <f t="shared" si="16"/>
        <v>250</v>
      </c>
      <c r="T29" s="358">
        <f t="shared" si="17"/>
        <v>3.9044576049707874E-2</v>
      </c>
      <c r="U29" s="865">
        <f t="shared" si="18"/>
        <v>123000</v>
      </c>
      <c r="V29" s="197">
        <f t="shared" si="19"/>
        <v>250</v>
      </c>
      <c r="W29" s="358">
        <f t="shared" si="20"/>
        <v>3.9044576049707874E-2</v>
      </c>
      <c r="X29" s="865">
        <f t="shared" si="21"/>
        <v>123000</v>
      </c>
      <c r="Y29" s="197">
        <f t="shared" si="22"/>
        <v>250</v>
      </c>
      <c r="Z29" s="167">
        <f t="shared" si="23"/>
        <v>3.9044576049707874E-2</v>
      </c>
      <c r="AA29" s="468"/>
      <c r="AB29" s="456"/>
      <c r="AC29" s="456"/>
      <c r="AD29" s="326" t="s">
        <v>27</v>
      </c>
      <c r="AE29" s="720" t="s">
        <v>154</v>
      </c>
      <c r="AF29" s="327">
        <f>AG29*AE22</f>
        <v>123000</v>
      </c>
      <c r="AG29" s="328">
        <v>250</v>
      </c>
      <c r="AH29" s="333">
        <v>450</v>
      </c>
      <c r="AI29" s="329">
        <f>AH29*$AE$22</f>
        <v>221400</v>
      </c>
      <c r="AJ29" s="334">
        <v>267</v>
      </c>
      <c r="AK29" s="335">
        <v>332</v>
      </c>
      <c r="AL29" s="331">
        <f t="shared" si="24"/>
        <v>123000</v>
      </c>
      <c r="AM29" s="332"/>
      <c r="AN29" s="200"/>
      <c r="AO29" s="464"/>
      <c r="AP29" s="456"/>
      <c r="AQ29" s="456"/>
      <c r="AR29" s="456"/>
      <c r="AS29" s="456"/>
      <c r="AT29" s="456"/>
      <c r="AU29" s="456"/>
      <c r="AV29" s="456"/>
      <c r="AW29" s="456"/>
    </row>
    <row r="30" spans="1:63" x14ac:dyDescent="0.2">
      <c r="A30" s="198"/>
      <c r="B30" s="151" t="str">
        <f>'P&amp;L'!B18</f>
        <v>Contract Services</v>
      </c>
      <c r="C30" s="865">
        <f>51119+43074</f>
        <v>94193</v>
      </c>
      <c r="D30" s="197">
        <f>C30/$C$8</f>
        <v>191.44918699186991</v>
      </c>
      <c r="E30" s="167">
        <f>IF($C$25=0,0,C30/C$25)</f>
        <v>3.0274843367468454E-2</v>
      </c>
      <c r="F30" s="865">
        <f t="shared" si="3"/>
        <v>94193</v>
      </c>
      <c r="G30" s="197">
        <f>F30/$C$8</f>
        <v>191.44918699186991</v>
      </c>
      <c r="H30" s="358">
        <f>IF(F$25=0,0,F30/F$25)</f>
        <v>3.0382274102717478E-2</v>
      </c>
      <c r="I30" s="865">
        <f t="shared" si="6"/>
        <v>94193</v>
      </c>
      <c r="J30" s="197">
        <f>I30/$C$8</f>
        <v>191.44918699186991</v>
      </c>
      <c r="K30" s="358">
        <f t="shared" si="8"/>
        <v>2.9900209364635232E-2</v>
      </c>
      <c r="L30" s="865">
        <f t="shared" si="9"/>
        <v>94193</v>
      </c>
      <c r="M30" s="197">
        <f>L30/$C$8</f>
        <v>191.44918699186991</v>
      </c>
      <c r="N30" s="358">
        <f t="shared" si="11"/>
        <v>3.0382274102717478E-2</v>
      </c>
      <c r="O30" s="865">
        <f t="shared" si="12"/>
        <v>94193</v>
      </c>
      <c r="P30" s="197">
        <f>O30/$C$8</f>
        <v>191.44918699186991</v>
      </c>
      <c r="Q30" s="358">
        <f t="shared" si="14"/>
        <v>2.9900209364635232E-2</v>
      </c>
      <c r="R30" s="865">
        <f t="shared" si="15"/>
        <v>94193</v>
      </c>
      <c r="S30" s="197">
        <f>R30/$C$8</f>
        <v>191.44918699186991</v>
      </c>
      <c r="T30" s="358">
        <f t="shared" si="17"/>
        <v>2.9900209364635232E-2</v>
      </c>
      <c r="U30" s="865">
        <f t="shared" si="18"/>
        <v>94193</v>
      </c>
      <c r="V30" s="197">
        <f>U30/$C$8</f>
        <v>191.44918699186991</v>
      </c>
      <c r="W30" s="358">
        <f t="shared" si="20"/>
        <v>2.9900209364635232E-2</v>
      </c>
      <c r="X30" s="865">
        <f t="shared" si="21"/>
        <v>94193</v>
      </c>
      <c r="Y30" s="197">
        <f>X30/$C$8</f>
        <v>191.44918699186991</v>
      </c>
      <c r="Z30" s="167">
        <f t="shared" si="23"/>
        <v>2.9900209364635232E-2</v>
      </c>
      <c r="AA30" s="468"/>
      <c r="AB30" s="456"/>
      <c r="AC30" s="456"/>
      <c r="AD30" s="326" t="s">
        <v>43</v>
      </c>
      <c r="AE30" s="722" t="s">
        <v>160</v>
      </c>
      <c r="AF30" s="337">
        <f>AG30*$AE$22</f>
        <v>98400</v>
      </c>
      <c r="AG30" s="333">
        <v>200</v>
      </c>
      <c r="AH30" s="333"/>
      <c r="AI30" s="329"/>
      <c r="AJ30" s="316"/>
      <c r="AK30" s="330"/>
      <c r="AL30" s="331">
        <f>AF30</f>
        <v>98400</v>
      </c>
      <c r="AM30" s="332"/>
      <c r="AN30" s="200"/>
      <c r="AO30" s="464"/>
      <c r="AP30" s="456"/>
      <c r="AQ30" s="456"/>
      <c r="AR30" s="456"/>
      <c r="AS30" s="456"/>
      <c r="AT30" s="456"/>
      <c r="AU30" s="456"/>
      <c r="AV30" s="456"/>
      <c r="AW30" s="456"/>
    </row>
    <row r="31" spans="1:63" x14ac:dyDescent="0.2">
      <c r="A31" s="198"/>
      <c r="B31" s="151" t="str">
        <f>'P&amp;L'!B19</f>
        <v>Trash Removal</v>
      </c>
      <c r="C31" s="865">
        <f>4812+5890</f>
        <v>10702</v>
      </c>
      <c r="D31" s="197">
        <f>C31/$C$8</f>
        <v>21.752032520325205</v>
      </c>
      <c r="E31" s="167">
        <f>IF($C$25=0,0,C31/C$25)</f>
        <v>3.4397606374003097E-3</v>
      </c>
      <c r="F31" s="865">
        <f t="shared" si="3"/>
        <v>10702</v>
      </c>
      <c r="G31" s="197">
        <f>F31/$C$8</f>
        <v>21.752032520325205</v>
      </c>
      <c r="H31" s="358">
        <f>IF(F$25=0,0,F31/F$25)</f>
        <v>3.4519666795545575E-3</v>
      </c>
      <c r="I31" s="865">
        <f t="shared" si="6"/>
        <v>10702</v>
      </c>
      <c r="J31" s="197">
        <f>I31/$C$8</f>
        <v>21.752032520325205</v>
      </c>
      <c r="K31" s="358">
        <f t="shared" si="8"/>
        <v>3.3971955519022249E-3</v>
      </c>
      <c r="L31" s="865">
        <f t="shared" si="9"/>
        <v>10702</v>
      </c>
      <c r="M31" s="197">
        <f>L31/$C$8</f>
        <v>21.752032520325205</v>
      </c>
      <c r="N31" s="358">
        <f t="shared" si="11"/>
        <v>3.4519666795545575E-3</v>
      </c>
      <c r="O31" s="865">
        <f t="shared" si="12"/>
        <v>10702</v>
      </c>
      <c r="P31" s="197">
        <f>O31/$C$8</f>
        <v>21.752032520325205</v>
      </c>
      <c r="Q31" s="358">
        <f t="shared" si="14"/>
        <v>3.3971955519022249E-3</v>
      </c>
      <c r="R31" s="865">
        <f t="shared" si="15"/>
        <v>10702</v>
      </c>
      <c r="S31" s="197">
        <f>R31/$C$8</f>
        <v>21.752032520325205</v>
      </c>
      <c r="T31" s="358">
        <f t="shared" si="17"/>
        <v>3.3971955519022249E-3</v>
      </c>
      <c r="U31" s="865">
        <f t="shared" si="18"/>
        <v>10702</v>
      </c>
      <c r="V31" s="197">
        <f>U31/$C$8</f>
        <v>21.752032520325205</v>
      </c>
      <c r="W31" s="358">
        <f t="shared" si="20"/>
        <v>3.3971955519022249E-3</v>
      </c>
      <c r="X31" s="865">
        <f t="shared" si="21"/>
        <v>10702</v>
      </c>
      <c r="Y31" s="197">
        <f>X31/$C$8</f>
        <v>21.752032520325205</v>
      </c>
      <c r="Z31" s="167">
        <f t="shared" si="23"/>
        <v>3.3971955519022249E-3</v>
      </c>
      <c r="AA31" s="468"/>
      <c r="AB31" s="456"/>
      <c r="AC31" s="456"/>
      <c r="AD31" s="336" t="s">
        <v>131</v>
      </c>
      <c r="AE31" s="719" t="s">
        <v>158</v>
      </c>
      <c r="AF31" s="337">
        <f>AG31*$AE$22</f>
        <v>98400</v>
      </c>
      <c r="AG31" s="333">
        <v>200</v>
      </c>
      <c r="AH31" s="333">
        <v>125</v>
      </c>
      <c r="AI31" s="329">
        <f>AH31*$AE$22</f>
        <v>61500</v>
      </c>
      <c r="AJ31" s="334">
        <v>229</v>
      </c>
      <c r="AK31" s="335">
        <v>199</v>
      </c>
      <c r="AL31" s="331">
        <f>AF31</f>
        <v>98400</v>
      </c>
      <c r="AM31" s="332"/>
      <c r="AN31" s="200"/>
      <c r="AO31" s="464"/>
      <c r="AP31" s="456"/>
      <c r="AQ31" s="456"/>
      <c r="AR31" s="456"/>
      <c r="AS31" s="456"/>
      <c r="AT31" s="456"/>
      <c r="AU31" s="456"/>
      <c r="AV31" s="456"/>
      <c r="AW31" s="456"/>
    </row>
    <row r="32" spans="1:63" x14ac:dyDescent="0.2">
      <c r="A32" s="198"/>
      <c r="B32" s="151" t="str">
        <f>'P&amp;L'!B20</f>
        <v>Electric</v>
      </c>
      <c r="C32" s="865">
        <f>50142+36758</f>
        <v>86900</v>
      </c>
      <c r="D32" s="197">
        <f>C32/$C$8</f>
        <v>176.6260162601626</v>
      </c>
      <c r="E32" s="167">
        <f>IF($C$25=0,0,C32/C$25)</f>
        <v>2.7930779236599413E-2</v>
      </c>
      <c r="F32" s="865">
        <f t="shared" si="3"/>
        <v>86900</v>
      </c>
      <c r="G32" s="197">
        <f>F32/$C$8</f>
        <v>176.6260162601626</v>
      </c>
      <c r="H32" s="358">
        <f>IF(F$25=0,0,F32/F$25)</f>
        <v>2.8029892025162685E-2</v>
      </c>
      <c r="I32" s="865">
        <f t="shared" si="6"/>
        <v>86900</v>
      </c>
      <c r="J32" s="197">
        <f>I32/$C$8</f>
        <v>176.6260162601626</v>
      </c>
      <c r="K32" s="358">
        <f t="shared" si="8"/>
        <v>2.758515169690743E-2</v>
      </c>
      <c r="L32" s="865">
        <f t="shared" si="9"/>
        <v>86900</v>
      </c>
      <c r="M32" s="197">
        <f>L32/$C$8</f>
        <v>176.6260162601626</v>
      </c>
      <c r="N32" s="358">
        <f t="shared" si="11"/>
        <v>2.8029892025162685E-2</v>
      </c>
      <c r="O32" s="865">
        <f t="shared" si="12"/>
        <v>86900</v>
      </c>
      <c r="P32" s="197">
        <f>O32/$C$8</f>
        <v>176.6260162601626</v>
      </c>
      <c r="Q32" s="358">
        <f t="shared" si="14"/>
        <v>2.758515169690743E-2</v>
      </c>
      <c r="R32" s="865">
        <f t="shared" si="15"/>
        <v>86900</v>
      </c>
      <c r="S32" s="197">
        <f>R32/$C$8</f>
        <v>176.6260162601626</v>
      </c>
      <c r="T32" s="358">
        <f t="shared" si="17"/>
        <v>2.758515169690743E-2</v>
      </c>
      <c r="U32" s="865">
        <f t="shared" si="18"/>
        <v>86900</v>
      </c>
      <c r="V32" s="197">
        <f>U32/$C$8</f>
        <v>176.6260162601626</v>
      </c>
      <c r="W32" s="358">
        <f t="shared" si="20"/>
        <v>2.758515169690743E-2</v>
      </c>
      <c r="X32" s="865">
        <f t="shared" si="21"/>
        <v>86900</v>
      </c>
      <c r="Y32" s="197">
        <f>X32/$C$8</f>
        <v>176.6260162601626</v>
      </c>
      <c r="Z32" s="167">
        <f t="shared" si="23"/>
        <v>2.758515169690743E-2</v>
      </c>
      <c r="AA32" s="468"/>
      <c r="AB32" s="456"/>
      <c r="AC32" s="456"/>
      <c r="AD32" s="336" t="s">
        <v>98</v>
      </c>
      <c r="AE32" s="719" t="s">
        <v>156</v>
      </c>
      <c r="AF32" s="337">
        <f>AG32*$AE$22</f>
        <v>49200</v>
      </c>
      <c r="AG32" s="333">
        <v>100</v>
      </c>
      <c r="AH32" s="333"/>
      <c r="AI32" s="329"/>
      <c r="AJ32" s="334">
        <v>100</v>
      </c>
      <c r="AK32" s="335">
        <v>111</v>
      </c>
      <c r="AL32" s="331">
        <f>AF32</f>
        <v>49200</v>
      </c>
      <c r="AM32" s="332"/>
      <c r="AN32" s="200"/>
      <c r="AO32" s="464"/>
      <c r="AP32" s="456"/>
      <c r="AQ32" s="456"/>
      <c r="AR32" s="456"/>
      <c r="AS32" s="456"/>
      <c r="AT32" s="456"/>
      <c r="AU32" s="456"/>
      <c r="AV32" s="456"/>
      <c r="AW32" s="456"/>
    </row>
    <row r="33" spans="1:49" x14ac:dyDescent="0.2">
      <c r="A33" s="198"/>
      <c r="B33" s="151" t="str">
        <f>'P&amp;L'!B21</f>
        <v>Gas</v>
      </c>
      <c r="C33" s="865">
        <f>2338</f>
        <v>2338</v>
      </c>
      <c r="D33" s="197">
        <f>C33/$C$8</f>
        <v>4.7520325203252032</v>
      </c>
      <c r="E33" s="167">
        <f>IF($C$25=0,0,C33/C$25)</f>
        <v>7.514633124875653E-4</v>
      </c>
      <c r="F33" s="865">
        <f t="shared" si="3"/>
        <v>2338</v>
      </c>
      <c r="G33" s="197">
        <f>F33/$C$8</f>
        <v>4.7520325203252032</v>
      </c>
      <c r="H33" s="358">
        <f>IF(F$25=0,0,F33/F$25)</f>
        <v>7.5412989130990054E-4</v>
      </c>
      <c r="I33" s="865">
        <f t="shared" si="6"/>
        <v>2338</v>
      </c>
      <c r="J33" s="197">
        <f>I33/$C$8</f>
        <v>4.7520325203252032</v>
      </c>
      <c r="K33" s="358">
        <f t="shared" si="8"/>
        <v>7.4216438052208944E-4</v>
      </c>
      <c r="L33" s="865">
        <f t="shared" si="9"/>
        <v>2338</v>
      </c>
      <c r="M33" s="197">
        <f>L33/$C$8</f>
        <v>4.7520325203252032</v>
      </c>
      <c r="N33" s="358">
        <f t="shared" si="11"/>
        <v>7.5412989130990054E-4</v>
      </c>
      <c r="O33" s="865">
        <f t="shared" si="12"/>
        <v>2338</v>
      </c>
      <c r="P33" s="197">
        <f>O33/$C$8</f>
        <v>4.7520325203252032</v>
      </c>
      <c r="Q33" s="358">
        <f t="shared" si="14"/>
        <v>7.4216438052208944E-4</v>
      </c>
      <c r="R33" s="865">
        <f t="shared" si="15"/>
        <v>2338</v>
      </c>
      <c r="S33" s="197">
        <f>R33/$C$8</f>
        <v>4.7520325203252032</v>
      </c>
      <c r="T33" s="358">
        <f t="shared" si="17"/>
        <v>7.4216438052208944E-4</v>
      </c>
      <c r="U33" s="865">
        <f t="shared" si="18"/>
        <v>2338</v>
      </c>
      <c r="V33" s="197">
        <f>U33/$C$8</f>
        <v>4.7520325203252032</v>
      </c>
      <c r="W33" s="358">
        <f t="shared" si="20"/>
        <v>7.4216438052208944E-4</v>
      </c>
      <c r="X33" s="865">
        <f t="shared" si="21"/>
        <v>2338</v>
      </c>
      <c r="Y33" s="197">
        <f>X33/$C$8</f>
        <v>4.7520325203252032</v>
      </c>
      <c r="Z33" s="167">
        <f t="shared" si="23"/>
        <v>7.4216438052208944E-4</v>
      </c>
      <c r="AA33" s="468"/>
      <c r="AB33" s="456"/>
      <c r="AC33" s="456"/>
      <c r="AD33" s="336" t="s">
        <v>99</v>
      </c>
      <c r="AE33" s="719" t="s">
        <v>157</v>
      </c>
      <c r="AF33" s="327"/>
      <c r="AG33" s="328"/>
      <c r="AH33" s="333"/>
      <c r="AI33" s="329"/>
      <c r="AJ33" s="334"/>
      <c r="AK33" s="335"/>
      <c r="AL33" s="331">
        <f>AF33</f>
        <v>0</v>
      </c>
      <c r="AM33" s="332"/>
      <c r="AN33" s="200"/>
      <c r="AO33" s="464"/>
      <c r="AP33" s="456"/>
      <c r="AQ33" s="456"/>
      <c r="AR33" s="456"/>
      <c r="AS33" s="456"/>
      <c r="AT33" s="456"/>
      <c r="AU33" s="456"/>
      <c r="AV33" s="456"/>
      <c r="AW33" s="456"/>
    </row>
    <row r="34" spans="1:49" x14ac:dyDescent="0.2">
      <c r="A34" s="198"/>
      <c r="B34" s="151" t="str">
        <f>'P&amp;L'!B22</f>
        <v>Water and Sewer</v>
      </c>
      <c r="C34" s="865">
        <f>73676+103767</f>
        <v>177443</v>
      </c>
      <c r="D34" s="197">
        <f t="shared" si="2"/>
        <v>360.65650406504068</v>
      </c>
      <c r="E34" s="167">
        <f t="shared" si="25"/>
        <v>5.7032465593554772E-2</v>
      </c>
      <c r="F34" s="865">
        <f t="shared" si="3"/>
        <v>177443</v>
      </c>
      <c r="G34" s="197">
        <f t="shared" si="4"/>
        <v>360.65650406504068</v>
      </c>
      <c r="H34" s="358">
        <f t="shared" si="5"/>
        <v>5.7234846152139723E-2</v>
      </c>
      <c r="I34" s="865">
        <f t="shared" si="6"/>
        <v>177443</v>
      </c>
      <c r="J34" s="197">
        <f t="shared" si="7"/>
        <v>360.65650406504068</v>
      </c>
      <c r="K34" s="358">
        <f t="shared" si="8"/>
        <v>5.6326721203157022E-2</v>
      </c>
      <c r="L34" s="865">
        <f t="shared" si="9"/>
        <v>177443</v>
      </c>
      <c r="M34" s="197">
        <f t="shared" si="10"/>
        <v>360.65650406504068</v>
      </c>
      <c r="N34" s="358">
        <f t="shared" si="11"/>
        <v>5.7234846152139723E-2</v>
      </c>
      <c r="O34" s="865">
        <f t="shared" si="12"/>
        <v>177443</v>
      </c>
      <c r="P34" s="197">
        <f t="shared" si="13"/>
        <v>360.65650406504068</v>
      </c>
      <c r="Q34" s="358">
        <f t="shared" si="14"/>
        <v>5.6326721203157022E-2</v>
      </c>
      <c r="R34" s="865">
        <f t="shared" si="15"/>
        <v>177443</v>
      </c>
      <c r="S34" s="197">
        <f t="shared" si="16"/>
        <v>360.65650406504068</v>
      </c>
      <c r="T34" s="358">
        <f t="shared" si="17"/>
        <v>5.6326721203157022E-2</v>
      </c>
      <c r="U34" s="865">
        <f t="shared" si="18"/>
        <v>177443</v>
      </c>
      <c r="V34" s="197">
        <f t="shared" si="19"/>
        <v>360.65650406504068</v>
      </c>
      <c r="W34" s="358">
        <f t="shared" si="20"/>
        <v>5.6326721203157022E-2</v>
      </c>
      <c r="X34" s="865">
        <f t="shared" si="21"/>
        <v>177443</v>
      </c>
      <c r="Y34" s="197">
        <f t="shared" si="22"/>
        <v>360.65650406504068</v>
      </c>
      <c r="Z34" s="167">
        <f t="shared" si="23"/>
        <v>5.6326721203157022E-2</v>
      </c>
      <c r="AA34" s="468"/>
      <c r="AB34" s="456"/>
      <c r="AC34" s="456"/>
      <c r="AD34" s="336" t="s">
        <v>132</v>
      </c>
      <c r="AE34" s="720" t="s">
        <v>155</v>
      </c>
      <c r="AF34" s="337">
        <f>AG34*$AE$22</f>
        <v>196800</v>
      </c>
      <c r="AG34" s="333">
        <v>400</v>
      </c>
      <c r="AH34" s="333">
        <v>500</v>
      </c>
      <c r="AI34" s="329">
        <f>AH34*$AE$22</f>
        <v>246000</v>
      </c>
      <c r="AJ34" s="334">
        <v>500</v>
      </c>
      <c r="AK34" s="335">
        <v>607</v>
      </c>
      <c r="AL34" s="331">
        <f t="shared" si="24"/>
        <v>196800</v>
      </c>
      <c r="AM34" s="332"/>
      <c r="AN34" s="200"/>
      <c r="AO34" s="464"/>
      <c r="AP34" s="456"/>
      <c r="AQ34" s="456"/>
      <c r="AR34" s="456"/>
      <c r="AS34" s="456"/>
      <c r="AT34" s="456"/>
      <c r="AU34" s="456"/>
      <c r="AV34" s="456"/>
      <c r="AW34" s="456"/>
    </row>
    <row r="35" spans="1:49" x14ac:dyDescent="0.2">
      <c r="A35" s="198"/>
      <c r="B35" s="151" t="str">
        <f>'P&amp;L'!B23</f>
        <v>Legal</v>
      </c>
      <c r="C35" s="865">
        <v>0</v>
      </c>
      <c r="D35" s="197">
        <f>C35/$C$8</f>
        <v>0</v>
      </c>
      <c r="E35" s="167">
        <f>IF($C$25=0,0,C35/C$25)</f>
        <v>0</v>
      </c>
      <c r="F35" s="865">
        <f t="shared" si="3"/>
        <v>0</v>
      </c>
      <c r="G35" s="197">
        <f>F35/$C$8</f>
        <v>0</v>
      </c>
      <c r="H35" s="358">
        <f>IF(F$25=0,0,F35/F$25)</f>
        <v>0</v>
      </c>
      <c r="I35" s="865">
        <f t="shared" si="6"/>
        <v>0</v>
      </c>
      <c r="J35" s="197">
        <f>I35/$C$8</f>
        <v>0</v>
      </c>
      <c r="K35" s="358">
        <f t="shared" si="8"/>
        <v>0</v>
      </c>
      <c r="L35" s="865">
        <f t="shared" si="9"/>
        <v>0</v>
      </c>
      <c r="M35" s="197">
        <f>L35/$C$8</f>
        <v>0</v>
      </c>
      <c r="N35" s="358">
        <f t="shared" si="11"/>
        <v>0</v>
      </c>
      <c r="O35" s="865">
        <f t="shared" si="12"/>
        <v>0</v>
      </c>
      <c r="P35" s="197">
        <f>O35/$C$8</f>
        <v>0</v>
      </c>
      <c r="Q35" s="358">
        <f t="shared" si="14"/>
        <v>0</v>
      </c>
      <c r="R35" s="865">
        <f t="shared" si="15"/>
        <v>0</v>
      </c>
      <c r="S35" s="197">
        <f>R35/$C$8</f>
        <v>0</v>
      </c>
      <c r="T35" s="358">
        <f t="shared" si="17"/>
        <v>0</v>
      </c>
      <c r="U35" s="865">
        <f t="shared" si="18"/>
        <v>0</v>
      </c>
      <c r="V35" s="197">
        <f>U35/$C$8</f>
        <v>0</v>
      </c>
      <c r="W35" s="358">
        <f t="shared" si="20"/>
        <v>0</v>
      </c>
      <c r="X35" s="865">
        <f t="shared" si="21"/>
        <v>0</v>
      </c>
      <c r="Y35" s="197">
        <f>X35/$C$8</f>
        <v>0</v>
      </c>
      <c r="Z35" s="167">
        <f t="shared" si="23"/>
        <v>0</v>
      </c>
      <c r="AA35" s="468"/>
      <c r="AB35" s="456"/>
      <c r="AC35" s="456"/>
      <c r="AD35" s="326" t="s">
        <v>130</v>
      </c>
      <c r="AE35" s="721" t="s">
        <v>164</v>
      </c>
      <c r="AF35" s="338">
        <f>150*AE22</f>
        <v>73800</v>
      </c>
      <c r="AG35" s="328">
        <f>AF35/$AE$23</f>
        <v>2.3804442249217562E-2</v>
      </c>
      <c r="AH35" s="333">
        <v>150</v>
      </c>
      <c r="AI35" s="329">
        <f>AH35*$AE$22</f>
        <v>73800</v>
      </c>
      <c r="AJ35" s="339"/>
      <c r="AK35" s="330"/>
      <c r="AL35" s="331">
        <f>AF35</f>
        <v>73800</v>
      </c>
      <c r="AM35" s="332"/>
      <c r="AN35" s="200"/>
      <c r="AO35" s="464"/>
      <c r="AP35" s="456"/>
      <c r="AQ35" s="456"/>
      <c r="AR35" s="456"/>
      <c r="AS35" s="456"/>
      <c r="AT35" s="456"/>
      <c r="AU35" s="456"/>
      <c r="AV35" s="456"/>
      <c r="AW35" s="456"/>
    </row>
    <row r="36" spans="1:49" ht="12.75" customHeight="1" x14ac:dyDescent="0.2">
      <c r="A36" s="198"/>
      <c r="B36" s="151" t="str">
        <f>'P&amp;L'!B24</f>
        <v>Management Fee</v>
      </c>
      <c r="C36" s="865">
        <f>50374+50273</f>
        <v>100647</v>
      </c>
      <c r="D36" s="197">
        <f t="shared" si="2"/>
        <v>204.5670731707317</v>
      </c>
      <c r="E36" s="167">
        <f t="shared" si="25"/>
        <v>3.2349242092359273E-2</v>
      </c>
      <c r="F36" s="877">
        <f>H36*F25</f>
        <v>108509.15862500001</v>
      </c>
      <c r="G36" s="197">
        <f t="shared" si="4"/>
        <v>220.54707037601628</v>
      </c>
      <c r="H36" s="428">
        <v>3.5000000000000003E-2</v>
      </c>
      <c r="I36" s="159">
        <f>K36*I25</f>
        <v>110258.59250000001</v>
      </c>
      <c r="J36" s="197">
        <f t="shared" si="7"/>
        <v>224.10283028455288</v>
      </c>
      <c r="K36" s="878">
        <f>H36</f>
        <v>3.5000000000000003E-2</v>
      </c>
      <c r="L36" s="159">
        <f>N36*L25</f>
        <v>124010.46699999999</v>
      </c>
      <c r="M36" s="197">
        <f t="shared" si="10"/>
        <v>252.05379471544714</v>
      </c>
      <c r="N36" s="878">
        <v>0.04</v>
      </c>
      <c r="O36" s="159">
        <f>Q36*O25</f>
        <v>126009.82</v>
      </c>
      <c r="P36" s="197">
        <f t="shared" si="13"/>
        <v>256.11752032520326</v>
      </c>
      <c r="Q36" s="878">
        <f>N36</f>
        <v>0.04</v>
      </c>
      <c r="R36" s="159">
        <f>T36*R25</f>
        <v>126009.82</v>
      </c>
      <c r="S36" s="197">
        <f t="shared" si="16"/>
        <v>256.11752032520326</v>
      </c>
      <c r="T36" s="878">
        <f>Q36</f>
        <v>0.04</v>
      </c>
      <c r="U36" s="159">
        <f>W36*U25</f>
        <v>126009.82</v>
      </c>
      <c r="V36" s="197">
        <f t="shared" si="19"/>
        <v>256.11752032520326</v>
      </c>
      <c r="W36" s="878">
        <f>T36</f>
        <v>0.04</v>
      </c>
      <c r="X36" s="159">
        <f>Z36*X25</f>
        <v>126009.82</v>
      </c>
      <c r="Y36" s="197">
        <f t="shared" si="22"/>
        <v>256.11752032520326</v>
      </c>
      <c r="Z36" s="876">
        <f>W36</f>
        <v>0.04</v>
      </c>
      <c r="AA36" s="466"/>
      <c r="AB36" s="456"/>
      <c r="AC36" s="456"/>
      <c r="AD36" s="326" t="s">
        <v>29</v>
      </c>
      <c r="AE36" s="720" t="s">
        <v>159</v>
      </c>
      <c r="AF36" s="327"/>
      <c r="AG36" s="328"/>
      <c r="AH36" s="333">
        <v>0.06</v>
      </c>
      <c r="AI36" s="329"/>
      <c r="AJ36" s="316"/>
      <c r="AK36" s="330"/>
      <c r="AL36" s="331">
        <f t="shared" si="24"/>
        <v>0</v>
      </c>
      <c r="AM36" s="332"/>
      <c r="AN36" s="200"/>
      <c r="AO36" s="464"/>
      <c r="AP36" s="456"/>
      <c r="AQ36" s="456"/>
      <c r="AR36" s="456"/>
      <c r="AS36" s="456"/>
      <c r="AT36" s="456"/>
      <c r="AU36" s="456"/>
      <c r="AV36" s="456"/>
      <c r="AW36" s="456"/>
    </row>
    <row r="37" spans="1:49" x14ac:dyDescent="0.2">
      <c r="A37" s="198"/>
      <c r="B37" s="151" t="str">
        <f>'P&amp;L'!B25</f>
        <v xml:space="preserve">Repairs and Maintenance </v>
      </c>
      <c r="C37" s="865">
        <f>100733+104432</f>
        <v>205165</v>
      </c>
      <c r="D37" s="197">
        <f t="shared" si="2"/>
        <v>417.0020325203252</v>
      </c>
      <c r="E37" s="167">
        <f t="shared" si="25"/>
        <v>6.5942673441621621E-2</v>
      </c>
      <c r="F37" s="865">
        <f>C37</f>
        <v>205165</v>
      </c>
      <c r="G37" s="197">
        <f t="shared" si="4"/>
        <v>417.0020325203252</v>
      </c>
      <c r="H37" s="358">
        <f>IF(F$25=0,0,F37/F$25)</f>
        <v>6.6176672006242832E-2</v>
      </c>
      <c r="I37" s="865">
        <f>F37</f>
        <v>205165</v>
      </c>
      <c r="J37" s="197">
        <f t="shared" si="7"/>
        <v>417.0020325203252</v>
      </c>
      <c r="K37" s="358">
        <f>IF(I$25=0,0,I37/I$25)</f>
        <v>6.5126670286490371E-2</v>
      </c>
      <c r="L37" s="865">
        <f>I37</f>
        <v>205165</v>
      </c>
      <c r="M37" s="197">
        <f t="shared" si="10"/>
        <v>417.0020325203252</v>
      </c>
      <c r="N37" s="358">
        <f>IF(L$25=0,0,L37/L$25)</f>
        <v>6.6176672006242832E-2</v>
      </c>
      <c r="O37" s="865">
        <f>L37</f>
        <v>205165</v>
      </c>
      <c r="P37" s="197">
        <f t="shared" si="13"/>
        <v>417.0020325203252</v>
      </c>
      <c r="Q37" s="358">
        <f>IF(O$25=0,0,O37/O$25)</f>
        <v>6.5126670286490371E-2</v>
      </c>
      <c r="R37" s="865">
        <f>O37</f>
        <v>205165</v>
      </c>
      <c r="S37" s="197">
        <f t="shared" si="16"/>
        <v>417.0020325203252</v>
      </c>
      <c r="T37" s="358">
        <f>IF(R$25=0,0,R37/R$25)</f>
        <v>6.5126670286490371E-2</v>
      </c>
      <c r="U37" s="865">
        <f>R37</f>
        <v>205165</v>
      </c>
      <c r="V37" s="197">
        <f t="shared" si="19"/>
        <v>417.0020325203252</v>
      </c>
      <c r="W37" s="358">
        <f>IF(U$25=0,0,U37/U$25)</f>
        <v>6.5126670286490371E-2</v>
      </c>
      <c r="X37" s="865">
        <f>U37</f>
        <v>205165</v>
      </c>
      <c r="Y37" s="197">
        <f t="shared" si="22"/>
        <v>417.0020325203252</v>
      </c>
      <c r="Z37" s="167">
        <f>IF(X$25=0,0,X37/X$25)</f>
        <v>6.5126670286490371E-2</v>
      </c>
      <c r="AA37" s="466"/>
      <c r="AB37" s="456"/>
      <c r="AC37" s="456"/>
      <c r="AD37" s="326" t="s">
        <v>30</v>
      </c>
      <c r="AE37" s="721" t="s">
        <v>161</v>
      </c>
      <c r="AF37" s="327">
        <f>0.1*AE23</f>
        <v>310026.16749999998</v>
      </c>
      <c r="AG37" s="328"/>
      <c r="AH37" s="333">
        <v>1000</v>
      </c>
      <c r="AI37" s="329">
        <f>AH37*$AE$22</f>
        <v>492000</v>
      </c>
      <c r="AJ37" s="316"/>
      <c r="AK37" s="330"/>
      <c r="AL37" s="331">
        <f t="shared" si="24"/>
        <v>310026.16749999998</v>
      </c>
      <c r="AM37" s="332"/>
      <c r="AN37" s="200"/>
      <c r="AO37" s="464"/>
      <c r="AP37" s="456"/>
      <c r="AQ37" s="456"/>
      <c r="AR37" s="456"/>
      <c r="AS37" s="456"/>
      <c r="AT37" s="456"/>
      <c r="AU37" s="456"/>
      <c r="AV37" s="456"/>
      <c r="AW37" s="456"/>
    </row>
    <row r="38" spans="1:49" x14ac:dyDescent="0.2">
      <c r="A38" s="198"/>
      <c r="B38" s="151" t="str">
        <f>'P&amp;L'!B26</f>
        <v>General/Admin</v>
      </c>
      <c r="C38" s="865">
        <f>62768+74269</f>
        <v>137037</v>
      </c>
      <c r="D38" s="197">
        <f t="shared" si="2"/>
        <v>278.53048780487802</v>
      </c>
      <c r="E38" s="167">
        <f t="shared" si="25"/>
        <v>4.4045456780735029E-2</v>
      </c>
      <c r="F38" s="865">
        <f>C38</f>
        <v>137037</v>
      </c>
      <c r="G38" s="197">
        <f t="shared" si="4"/>
        <v>278.53048780487802</v>
      </c>
      <c r="H38" s="358">
        <f>IF(F$25=0,0,F38/F$25)</f>
        <v>4.4201752743984107E-2</v>
      </c>
      <c r="I38" s="865">
        <f>F38</f>
        <v>137037</v>
      </c>
      <c r="J38" s="197">
        <f t="shared" si="7"/>
        <v>278.53048780487802</v>
      </c>
      <c r="K38" s="358">
        <f>IF(I$25=0,0,I38/I$25)</f>
        <v>4.3500419253039165E-2</v>
      </c>
      <c r="L38" s="865">
        <f>I38</f>
        <v>137037</v>
      </c>
      <c r="M38" s="197">
        <f t="shared" si="10"/>
        <v>278.53048780487802</v>
      </c>
      <c r="N38" s="358">
        <f>IF(L$25=0,0,L38/L$25)</f>
        <v>4.4201752743984107E-2</v>
      </c>
      <c r="O38" s="865">
        <f>L38</f>
        <v>137037</v>
      </c>
      <c r="P38" s="197">
        <f t="shared" si="13"/>
        <v>278.53048780487802</v>
      </c>
      <c r="Q38" s="358">
        <f>IF(O$25=0,0,O38/O$25)</f>
        <v>4.3500419253039165E-2</v>
      </c>
      <c r="R38" s="865">
        <f>O38</f>
        <v>137037</v>
      </c>
      <c r="S38" s="197">
        <f t="shared" si="16"/>
        <v>278.53048780487802</v>
      </c>
      <c r="T38" s="358">
        <f>IF(R$25=0,0,R38/R$25)</f>
        <v>4.3500419253039165E-2</v>
      </c>
      <c r="U38" s="865">
        <f>R38</f>
        <v>137037</v>
      </c>
      <c r="V38" s="197">
        <f t="shared" si="19"/>
        <v>278.53048780487802</v>
      </c>
      <c r="W38" s="358">
        <f>IF(U$25=0,0,U38/U$25)</f>
        <v>4.3500419253039165E-2</v>
      </c>
      <c r="X38" s="865">
        <f>U38</f>
        <v>137037</v>
      </c>
      <c r="Y38" s="197">
        <f t="shared" si="22"/>
        <v>278.53048780487802</v>
      </c>
      <c r="Z38" s="167">
        <f>IF(X$25=0,0,X38/X$25)</f>
        <v>4.3500419253039165E-2</v>
      </c>
      <c r="AA38" s="468"/>
      <c r="AB38" s="456"/>
      <c r="AC38" s="456"/>
      <c r="AD38" s="326" t="s">
        <v>37</v>
      </c>
      <c r="AE38" s="721" t="s">
        <v>162</v>
      </c>
      <c r="AF38" s="338"/>
      <c r="AG38" s="328"/>
      <c r="AH38" s="333"/>
      <c r="AI38" s="329"/>
      <c r="AJ38" s="339"/>
      <c r="AK38" s="330"/>
      <c r="AL38" s="331">
        <v>1700</v>
      </c>
      <c r="AM38" s="332"/>
      <c r="AN38" s="200"/>
      <c r="AO38" s="464"/>
      <c r="AP38" s="456"/>
      <c r="AQ38" s="456"/>
      <c r="AR38" s="456"/>
      <c r="AS38" s="456"/>
      <c r="AT38" s="456"/>
      <c r="AU38" s="456"/>
      <c r="AV38" s="456"/>
      <c r="AW38" s="456"/>
    </row>
    <row r="39" spans="1:49" x14ac:dyDescent="0.2">
      <c r="A39" s="198"/>
      <c r="B39" s="151" t="str">
        <f>'P&amp;L'!B27</f>
        <v>Payroll</v>
      </c>
      <c r="C39" s="865">
        <f>304717+278441</f>
        <v>583158</v>
      </c>
      <c r="D39" s="197">
        <f t="shared" si="2"/>
        <v>1185.280487804878</v>
      </c>
      <c r="E39" s="167">
        <f t="shared" si="25"/>
        <v>0.18743449203747803</v>
      </c>
      <c r="F39" s="865">
        <f>C39</f>
        <v>583158</v>
      </c>
      <c r="G39" s="197">
        <f t="shared" si="4"/>
        <v>1185.280487804878</v>
      </c>
      <c r="H39" s="358">
        <f>IF(F$25=0,0,F39/F$25)</f>
        <v>0.18809960614050428</v>
      </c>
      <c r="I39" s="865">
        <f>F39</f>
        <v>583158</v>
      </c>
      <c r="J39" s="197">
        <f t="shared" si="7"/>
        <v>1185.280487804878</v>
      </c>
      <c r="K39" s="358">
        <f>IF(I$25=0,0,I39/I$25)</f>
        <v>0.18511509658532962</v>
      </c>
      <c r="L39" s="903">
        <f>Summary!W35</f>
        <v>562500</v>
      </c>
      <c r="M39" s="197">
        <f t="shared" si="10"/>
        <v>1143.2926829268292</v>
      </c>
      <c r="N39" s="358">
        <f>IF(L$25=0,0,L39/L$25)</f>
        <v>0.18143629763123142</v>
      </c>
      <c r="O39" s="865">
        <f>L39</f>
        <v>562500</v>
      </c>
      <c r="P39" s="197">
        <f t="shared" si="13"/>
        <v>1143.2926829268292</v>
      </c>
      <c r="Q39" s="358">
        <f>IF(O$25=0,0,O39/O$25)</f>
        <v>0.17855751242244453</v>
      </c>
      <c r="R39" s="865">
        <f>O39</f>
        <v>562500</v>
      </c>
      <c r="S39" s="197">
        <f t="shared" si="16"/>
        <v>1143.2926829268292</v>
      </c>
      <c r="T39" s="358">
        <f>IF(R$25=0,0,R39/R$25)</f>
        <v>0.17855751242244453</v>
      </c>
      <c r="U39" s="865">
        <f>R39</f>
        <v>562500</v>
      </c>
      <c r="V39" s="197">
        <f t="shared" si="19"/>
        <v>1143.2926829268292</v>
      </c>
      <c r="W39" s="358">
        <f>IF(U$25=0,0,U39/U$25)</f>
        <v>0.17855751242244453</v>
      </c>
      <c r="X39" s="865">
        <f>U39</f>
        <v>562500</v>
      </c>
      <c r="Y39" s="197">
        <f t="shared" si="22"/>
        <v>1143.2926829268292</v>
      </c>
      <c r="Z39" s="167">
        <f>IF(X$25=0,0,X39/X$25)</f>
        <v>0.17855751242244453</v>
      </c>
      <c r="AA39" s="468"/>
      <c r="AB39" s="456"/>
      <c r="AC39" s="456"/>
      <c r="AD39" s="326" t="s">
        <v>38</v>
      </c>
      <c r="AE39" s="722"/>
      <c r="AF39" s="337"/>
      <c r="AG39" s="333"/>
      <c r="AH39" s="333"/>
      <c r="AI39" s="329"/>
      <c r="AJ39" s="316"/>
      <c r="AK39" s="330"/>
      <c r="AL39" s="331">
        <f>AF39</f>
        <v>0</v>
      </c>
      <c r="AM39" s="332"/>
      <c r="AN39" s="200"/>
      <c r="AO39" s="464"/>
      <c r="AP39" s="456"/>
      <c r="AQ39" s="456"/>
      <c r="AR39" s="456"/>
      <c r="AS39" s="456"/>
      <c r="AT39" s="456"/>
      <c r="AU39" s="456"/>
      <c r="AV39" s="456"/>
      <c r="AW39" s="456"/>
    </row>
    <row r="40" spans="1:49" x14ac:dyDescent="0.2">
      <c r="A40" s="198"/>
      <c r="B40" s="151" t="str">
        <f>'P&amp;L'!B28</f>
        <v>Other</v>
      </c>
      <c r="C40" s="865">
        <f>21041+32732</f>
        <v>53773</v>
      </c>
      <c r="D40" s="197">
        <f t="shared" si="2"/>
        <v>109.29471544715447</v>
      </c>
      <c r="E40" s="167">
        <f t="shared" si="25"/>
        <v>1.728333477433441E-2</v>
      </c>
      <c r="F40" s="865">
        <f>C40</f>
        <v>53773</v>
      </c>
      <c r="G40" s="197">
        <f t="shared" si="4"/>
        <v>109.29471544715447</v>
      </c>
      <c r="H40" s="358">
        <f>IF(F$25=0,0,F40/F$25)</f>
        <v>1.7344664946709699E-2</v>
      </c>
      <c r="I40" s="865">
        <f>F40</f>
        <v>53773</v>
      </c>
      <c r="J40" s="197">
        <f t="shared" si="7"/>
        <v>109.29471544715447</v>
      </c>
      <c r="K40" s="358">
        <f>IF(I$25=0,0,I40/I$25)</f>
        <v>1.7069463316430417E-2</v>
      </c>
      <c r="L40" s="865">
        <f>I40</f>
        <v>53773</v>
      </c>
      <c r="M40" s="197">
        <f t="shared" si="10"/>
        <v>109.29471544715447</v>
      </c>
      <c r="N40" s="358">
        <f>IF(L$25=0,0,L40/L$25)</f>
        <v>1.7344664946709699E-2</v>
      </c>
      <c r="O40" s="865">
        <f>L40</f>
        <v>53773</v>
      </c>
      <c r="P40" s="197">
        <f t="shared" si="13"/>
        <v>109.29471544715447</v>
      </c>
      <c r="Q40" s="358">
        <f>IF(O$25=0,0,O40/O$25)</f>
        <v>1.7069463316430417E-2</v>
      </c>
      <c r="R40" s="865">
        <f>O40</f>
        <v>53773</v>
      </c>
      <c r="S40" s="197">
        <f t="shared" si="16"/>
        <v>109.29471544715447</v>
      </c>
      <c r="T40" s="358">
        <f>IF(R$25=0,0,R40/R$25)</f>
        <v>1.7069463316430417E-2</v>
      </c>
      <c r="U40" s="865">
        <f>R40</f>
        <v>53773</v>
      </c>
      <c r="V40" s="197">
        <f t="shared" si="19"/>
        <v>109.29471544715447</v>
      </c>
      <c r="W40" s="358">
        <f>IF(U$25=0,0,U40/U$25)</f>
        <v>1.7069463316430417E-2</v>
      </c>
      <c r="X40" s="865">
        <f>U40</f>
        <v>53773</v>
      </c>
      <c r="Y40" s="197">
        <f t="shared" si="22"/>
        <v>109.29471544715447</v>
      </c>
      <c r="Z40" s="167">
        <f>IF(X$25=0,0,X40/X$25)</f>
        <v>1.7069463316430417E-2</v>
      </c>
      <c r="AA40" s="468"/>
      <c r="AB40" s="456"/>
      <c r="AC40" s="456"/>
      <c r="AD40" s="326" t="s">
        <v>31</v>
      </c>
      <c r="AE40" s="722"/>
      <c r="AF40" s="337"/>
      <c r="AG40" s="327"/>
      <c r="AH40" s="333"/>
      <c r="AI40" s="329"/>
      <c r="AJ40" s="316"/>
      <c r="AK40" s="330"/>
      <c r="AL40" s="331">
        <f>AF40</f>
        <v>0</v>
      </c>
      <c r="AM40" s="332"/>
      <c r="AN40" s="200"/>
      <c r="AO40" s="464"/>
      <c r="AP40" s="456"/>
      <c r="AQ40" s="456"/>
      <c r="AR40" s="456"/>
      <c r="AS40" s="456"/>
      <c r="AT40" s="456"/>
      <c r="AU40" s="456"/>
      <c r="AV40" s="456"/>
      <c r="AW40" s="456"/>
    </row>
    <row r="41" spans="1:49" ht="12" thickBot="1" x14ac:dyDescent="0.25">
      <c r="A41" s="198"/>
      <c r="B41" s="151" t="str">
        <f>'P&amp;L'!B29</f>
        <v>Deposit to Replacement Reserve</v>
      </c>
      <c r="C41" s="865">
        <v>0</v>
      </c>
      <c r="D41" s="197">
        <f t="shared" si="2"/>
        <v>0</v>
      </c>
      <c r="E41" s="167">
        <f t="shared" si="25"/>
        <v>0</v>
      </c>
      <c r="F41" s="865">
        <f>AF41</f>
        <v>123000</v>
      </c>
      <c r="G41" s="197">
        <f t="shared" si="4"/>
        <v>250</v>
      </c>
      <c r="H41" s="358">
        <f>IF(F$25=0,0,F41/F$25)</f>
        <v>3.9674070415362604E-2</v>
      </c>
      <c r="I41" s="865">
        <v>0</v>
      </c>
      <c r="J41" s="197">
        <f t="shared" si="7"/>
        <v>0</v>
      </c>
      <c r="K41" s="358">
        <f>IF(I$25=0,0,I41/I$25)</f>
        <v>0</v>
      </c>
      <c r="L41" s="865">
        <f>AF41</f>
        <v>123000</v>
      </c>
      <c r="M41" s="197">
        <f t="shared" si="10"/>
        <v>250</v>
      </c>
      <c r="N41" s="358">
        <f>IF(L$25=0,0,L41/L$25)</f>
        <v>3.9674070415362604E-2</v>
      </c>
      <c r="O41" s="865">
        <v>0</v>
      </c>
      <c r="P41" s="197">
        <f t="shared" si="13"/>
        <v>0</v>
      </c>
      <c r="Q41" s="358">
        <f>IF(O$25=0,0,O41/O$25)</f>
        <v>0</v>
      </c>
      <c r="R41" s="865">
        <v>0</v>
      </c>
      <c r="S41" s="197">
        <f t="shared" si="16"/>
        <v>0</v>
      </c>
      <c r="T41" s="358">
        <f>IF(R$25=0,0,R41/R$25)</f>
        <v>0</v>
      </c>
      <c r="U41" s="865">
        <v>0</v>
      </c>
      <c r="V41" s="197">
        <f t="shared" si="19"/>
        <v>0</v>
      </c>
      <c r="W41" s="358">
        <f>IF(U$25=0,0,U41/U$25)</f>
        <v>0</v>
      </c>
      <c r="X41" s="865">
        <v>0</v>
      </c>
      <c r="Y41" s="197">
        <f t="shared" si="22"/>
        <v>0</v>
      </c>
      <c r="Z41" s="167">
        <f>IF(X$25=0,0,X41/X$25)</f>
        <v>0</v>
      </c>
      <c r="AA41" s="468"/>
      <c r="AB41" s="456"/>
      <c r="AC41" s="456"/>
      <c r="AD41" s="340" t="s">
        <v>163</v>
      </c>
      <c r="AE41" s="884" t="s">
        <v>385</v>
      </c>
      <c r="AF41" s="341">
        <f>AG41*AE22</f>
        <v>123000</v>
      </c>
      <c r="AG41" s="342">
        <v>250</v>
      </c>
      <c r="AH41" s="343">
        <v>250</v>
      </c>
      <c r="AI41" s="344">
        <f>AH41*$AE$22</f>
        <v>123000</v>
      </c>
      <c r="AJ41" s="345"/>
      <c r="AK41" s="346"/>
      <c r="AL41" s="347">
        <f>AF41</f>
        <v>123000</v>
      </c>
      <c r="AM41" s="348"/>
      <c r="AN41" s="200"/>
      <c r="AO41" s="464"/>
      <c r="AP41" s="456"/>
      <c r="AQ41" s="456"/>
      <c r="AR41" s="456"/>
      <c r="AS41" s="456"/>
      <c r="AT41" s="456"/>
      <c r="AU41" s="456"/>
      <c r="AV41" s="456"/>
      <c r="AW41" s="456"/>
    </row>
    <row r="42" spans="1:49" ht="12.75" thickBot="1" x14ac:dyDescent="0.25">
      <c r="A42" s="198"/>
      <c r="B42" s="170" t="s">
        <v>50</v>
      </c>
      <c r="C42" s="171">
        <f>SUM(C28:C41)</f>
        <v>1625034</v>
      </c>
      <c r="D42" s="604">
        <f>SUM(D28:D41)</f>
        <v>3302.9146341463415</v>
      </c>
      <c r="E42" s="173">
        <f>IF($C$25=0,0,C42/C25)</f>
        <v>0.52230685737592741</v>
      </c>
      <c r="F42" s="171">
        <f>SUM(F28:F41)</f>
        <v>1772452.1586250002</v>
      </c>
      <c r="G42" s="604">
        <f>SUM(G28:G41)</f>
        <v>3602.5450378556911</v>
      </c>
      <c r="H42" s="173">
        <f>IF(F$25=0,0,F42/F25)</f>
        <v>0.57171050202560736</v>
      </c>
      <c r="I42" s="171">
        <f>SUM(I28:I41)</f>
        <v>1651201.5925</v>
      </c>
      <c r="J42" s="604">
        <f>SUM(J28:J41)</f>
        <v>3356.100797764228</v>
      </c>
      <c r="K42" s="173">
        <f>IF(I$25=0,0,I42/I25)</f>
        <v>0.52415013131516264</v>
      </c>
      <c r="L42" s="171">
        <f>SUM(L28:L41)</f>
        <v>1767295.4669999999</v>
      </c>
      <c r="M42" s="604">
        <f>SUM(M28:M41)</f>
        <v>3592.0639573170724</v>
      </c>
      <c r="N42" s="173">
        <f>IF(L$25=0,0,L42/L25)</f>
        <v>0.57004719351633437</v>
      </c>
      <c r="O42" s="171">
        <f>SUM(O28:O41)</f>
        <v>1646294.82</v>
      </c>
      <c r="P42" s="604">
        <f>SUM(P28:P41)</f>
        <v>3346.1276829268286</v>
      </c>
      <c r="Q42" s="173">
        <f>IF(O$25=0,0,O42/O25)</f>
        <v>0.52259254715227754</v>
      </c>
      <c r="R42" s="171">
        <f>SUM(R28:R41)</f>
        <v>1646294.82</v>
      </c>
      <c r="S42" s="604">
        <f>SUM(S28:S41)</f>
        <v>3346.1276829268286</v>
      </c>
      <c r="T42" s="173">
        <f>IF(R$25=0,0,R42/R25)</f>
        <v>0.52259254715227754</v>
      </c>
      <c r="U42" s="171">
        <f>SUM(U28:U41)</f>
        <v>1646294.82</v>
      </c>
      <c r="V42" s="604">
        <f>SUM(V28:V41)</f>
        <v>3346.1276829268286</v>
      </c>
      <c r="W42" s="173">
        <f>IF(U$25=0,0,U42/U25)</f>
        <v>0.52259254715227754</v>
      </c>
      <c r="X42" s="171">
        <f>SUM(X28:X41)</f>
        <v>1646294.82</v>
      </c>
      <c r="Y42" s="604">
        <f>SUM(Y28:Y41)</f>
        <v>3346.1276829268286</v>
      </c>
      <c r="Z42" s="173">
        <f>IF(X$25=0,0,X42/X25)</f>
        <v>0.52259254715227754</v>
      </c>
      <c r="AA42" s="469"/>
      <c r="AB42" s="456"/>
      <c r="AC42" s="456"/>
      <c r="AD42" s="349"/>
      <c r="AE42" s="350"/>
      <c r="AF42" s="351"/>
      <c r="AG42" s="352"/>
      <c r="AH42" s="351"/>
      <c r="AI42" s="353"/>
      <c r="AJ42" s="354"/>
      <c r="AK42" s="354"/>
      <c r="AL42" s="200"/>
      <c r="AM42" s="200"/>
      <c r="AN42" s="200"/>
      <c r="AO42" s="464"/>
      <c r="AP42" s="456"/>
      <c r="AQ42" s="456"/>
      <c r="AR42" s="456"/>
      <c r="AS42" s="456"/>
      <c r="AT42" s="456"/>
      <c r="AU42" s="456"/>
      <c r="AV42" s="456"/>
      <c r="AW42" s="456"/>
    </row>
    <row r="43" spans="1:49" ht="12.75" thickTop="1" x14ac:dyDescent="0.2">
      <c r="A43" s="198"/>
      <c r="B43" s="164"/>
      <c r="C43" s="165"/>
      <c r="D43" s="191"/>
      <c r="E43" s="174"/>
      <c r="F43" s="165"/>
      <c r="G43" s="191"/>
      <c r="H43" s="174"/>
      <c r="I43" s="165"/>
      <c r="J43" s="191"/>
      <c r="K43" s="175"/>
      <c r="L43" s="165"/>
      <c r="M43" s="191"/>
      <c r="N43" s="175"/>
      <c r="O43" s="165"/>
      <c r="P43" s="191"/>
      <c r="Q43" s="175"/>
      <c r="R43" s="165"/>
      <c r="S43" s="191"/>
      <c r="T43" s="175"/>
      <c r="U43" s="165"/>
      <c r="V43" s="191"/>
      <c r="W43" s="175"/>
      <c r="X43" s="165"/>
      <c r="Y43" s="191"/>
      <c r="Z43" s="175"/>
      <c r="AA43" s="470"/>
      <c r="AB43" s="456"/>
      <c r="AC43" s="456"/>
      <c r="AD43" s="349"/>
      <c r="AE43" s="355"/>
      <c r="AF43" s="352"/>
      <c r="AG43" s="352"/>
      <c r="AH43" s="352"/>
      <c r="AI43" s="353"/>
      <c r="AJ43" s="354"/>
      <c r="AK43" s="354"/>
      <c r="AL43" s="200"/>
      <c r="AM43" s="200"/>
      <c r="AN43" s="200"/>
      <c r="AO43" s="464"/>
      <c r="AP43" s="456"/>
      <c r="AQ43" s="456"/>
      <c r="AR43" s="456"/>
      <c r="AS43" s="456"/>
      <c r="AT43" s="456"/>
      <c r="AU43" s="456"/>
      <c r="AV43" s="456"/>
      <c r="AW43" s="456"/>
    </row>
    <row r="44" spans="1:49" x14ac:dyDescent="0.2">
      <c r="A44" s="198"/>
      <c r="B44" s="164" t="s">
        <v>143</v>
      </c>
      <c r="C44" s="162">
        <v>0</v>
      </c>
      <c r="D44" s="599"/>
      <c r="E44" s="167">
        <f>IF(C25=0,0,C44/C25)</f>
        <v>0</v>
      </c>
      <c r="F44" s="159">
        <f>IF(F42&gt;0,F42,H44*F25)</f>
        <v>1772452.1586250002</v>
      </c>
      <c r="G44" s="197"/>
      <c r="H44" s="569">
        <f>IF(F42=0,50%,F44/F25)</f>
        <v>0.57171050202560736</v>
      </c>
      <c r="I44" s="159">
        <f>IF(I42&gt;0,I42,K44*I25)</f>
        <v>1651201.5925</v>
      </c>
      <c r="J44" s="197"/>
      <c r="K44" s="569">
        <f>IF(I42=0,50%,I44/I25)</f>
        <v>0.52415013131516264</v>
      </c>
      <c r="L44" s="159">
        <f>IF(L42&gt;0,L42,N44*L25)</f>
        <v>1767295.4669999999</v>
      </c>
      <c r="M44" s="197"/>
      <c r="N44" s="569">
        <f>IF(L42=0,50%,L44/L25)</f>
        <v>0.57004719351633437</v>
      </c>
      <c r="O44" s="159">
        <f>IF(O42&gt;0,O42,Q44*O25)</f>
        <v>1646294.82</v>
      </c>
      <c r="P44" s="197"/>
      <c r="Q44" s="569">
        <f>IF(O42=0,50%,O44/O25)</f>
        <v>0.52259254715227754</v>
      </c>
      <c r="R44" s="159">
        <f>IF(R42&gt;0,R42,T44*R25)</f>
        <v>1646294.82</v>
      </c>
      <c r="S44" s="197"/>
      <c r="T44" s="569">
        <f>IF(R42=0,50%,R44/R25)</f>
        <v>0.52259254715227754</v>
      </c>
      <c r="U44" s="159">
        <f>IF(U42&gt;0,U42,W44*U25)</f>
        <v>1646294.82</v>
      </c>
      <c r="V44" s="197"/>
      <c r="W44" s="569">
        <f>IF(U42=0,50%,U44/U25)</f>
        <v>0.52259254715227754</v>
      </c>
      <c r="X44" s="159">
        <f>IF(X42&gt;0,X42,Z44*X25)</f>
        <v>1646294.82</v>
      </c>
      <c r="Y44" s="197"/>
      <c r="Z44" s="569">
        <f>IF(X42=0,50%,X44/X25)</f>
        <v>0.52259254715227754</v>
      </c>
      <c r="AA44" s="470"/>
      <c r="AB44" s="456"/>
      <c r="AC44" s="456"/>
      <c r="AD44" s="197"/>
      <c r="AE44" s="200"/>
      <c r="AF44" s="200"/>
      <c r="AG44" s="200"/>
      <c r="AH44" s="200"/>
      <c r="AI44" s="200"/>
      <c r="AJ44" s="200"/>
      <c r="AK44" s="200"/>
      <c r="AL44" s="200"/>
      <c r="AM44" s="200"/>
      <c r="AN44" s="200"/>
      <c r="AO44" s="464"/>
      <c r="AP44" s="456"/>
      <c r="AQ44" s="456"/>
      <c r="AR44" s="456"/>
      <c r="AS44" s="456"/>
      <c r="AT44" s="456"/>
      <c r="AU44" s="456"/>
      <c r="AV44" s="456"/>
      <c r="AW44" s="456"/>
    </row>
    <row r="45" spans="1:49" ht="12" thickBot="1" x14ac:dyDescent="0.25">
      <c r="A45" s="198"/>
      <c r="B45" s="164"/>
      <c r="C45" s="162"/>
      <c r="D45" s="599"/>
      <c r="E45" s="167"/>
      <c r="F45" s="159"/>
      <c r="G45" s="197"/>
      <c r="H45" s="175"/>
      <c r="I45" s="265"/>
      <c r="J45" s="264"/>
      <c r="K45" s="653"/>
      <c r="L45" s="265"/>
      <c r="M45" s="264"/>
      <c r="N45" s="653"/>
      <c r="O45" s="265"/>
      <c r="P45" s="264"/>
      <c r="Q45" s="653"/>
      <c r="R45" s="265"/>
      <c r="S45" s="264"/>
      <c r="T45" s="653"/>
      <c r="U45" s="265"/>
      <c r="V45" s="264"/>
      <c r="W45" s="653"/>
      <c r="X45" s="265"/>
      <c r="Y45" s="264"/>
      <c r="Z45" s="653"/>
      <c r="AA45" s="470"/>
      <c r="AB45" s="456"/>
      <c r="AC45" s="456"/>
      <c r="AD45" s="300"/>
      <c r="AE45" s="194"/>
      <c r="AF45" s="356"/>
      <c r="AG45" s="357"/>
      <c r="AH45" s="195"/>
      <c r="AI45" s="195"/>
      <c r="AJ45" s="195"/>
      <c r="AK45" s="195"/>
      <c r="AL45" s="195"/>
      <c r="AM45" s="195"/>
      <c r="AN45" s="200"/>
      <c r="AO45" s="456"/>
      <c r="AP45" s="456"/>
      <c r="AQ45" s="456"/>
      <c r="AR45" s="456"/>
      <c r="AS45" s="456"/>
      <c r="AT45" s="456"/>
      <c r="AU45" s="456"/>
      <c r="AV45" s="456"/>
      <c r="AW45" s="456"/>
    </row>
    <row r="46" spans="1:49" ht="12" thickBot="1" x14ac:dyDescent="0.25">
      <c r="A46" s="198"/>
      <c r="B46" s="176" t="s">
        <v>57</v>
      </c>
      <c r="C46" s="177">
        <f>IF(C44&gt;0,C44,C42)</f>
        <v>1625034</v>
      </c>
      <c r="D46" s="603"/>
      <c r="E46" s="570">
        <f>IF(C25=0,0,C46/C25)</f>
        <v>0.52230685737592741</v>
      </c>
      <c r="F46" s="177">
        <f>IF(F44&gt;0,F44,F42)</f>
        <v>1772452.1586250002</v>
      </c>
      <c r="G46" s="603"/>
      <c r="H46" s="570">
        <f>IF(F25=0,0,F46/F25)</f>
        <v>0.57171050202560736</v>
      </c>
      <c r="I46" s="177">
        <f>IF(I44&gt;0,I44,I42)</f>
        <v>1651201.5925</v>
      </c>
      <c r="J46" s="603"/>
      <c r="K46" s="570">
        <f>IF(I25=0,0,I46/I25)</f>
        <v>0.52415013131516264</v>
      </c>
      <c r="L46" s="177">
        <f>IF(L44&gt;0,L44,L42)</f>
        <v>1767295.4669999999</v>
      </c>
      <c r="M46" s="603"/>
      <c r="N46" s="570">
        <f>IF(L25=0,0,L46/L25)</f>
        <v>0.57004719351633437</v>
      </c>
      <c r="O46" s="177">
        <f>IF(O44&gt;0,O44,O42)</f>
        <v>1646294.82</v>
      </c>
      <c r="P46" s="603"/>
      <c r="Q46" s="570">
        <f>IF(O25=0,0,O46/O25)</f>
        <v>0.52259254715227754</v>
      </c>
      <c r="R46" s="177">
        <f>IF(R44&gt;0,R44,R42)</f>
        <v>1646294.82</v>
      </c>
      <c r="S46" s="603"/>
      <c r="T46" s="570">
        <f>IF(R25=0,0,R46/R25)</f>
        <v>0.52259254715227754</v>
      </c>
      <c r="U46" s="177">
        <f>IF(U44&gt;0,U44,U42)</f>
        <v>1646294.82</v>
      </c>
      <c r="V46" s="603"/>
      <c r="W46" s="570">
        <f>IF(U25=0,0,U46/U25)</f>
        <v>0.52259254715227754</v>
      </c>
      <c r="X46" s="177">
        <f>IF(X44&gt;0,X44,X42)</f>
        <v>1646294.82</v>
      </c>
      <c r="Y46" s="603"/>
      <c r="Z46" s="570">
        <f>IF(X25=0,0,X46/X25)</f>
        <v>0.52259254715227754</v>
      </c>
      <c r="AA46" s="470"/>
      <c r="AB46" s="456"/>
      <c r="AC46" s="456"/>
      <c r="AD46" s="300"/>
      <c r="AE46" s="358"/>
      <c r="AF46" s="356"/>
      <c r="AG46" s="357"/>
      <c r="AH46" s="195"/>
      <c r="AI46" s="195"/>
      <c r="AJ46" s="195"/>
      <c r="AK46" s="195"/>
      <c r="AL46" s="195"/>
      <c r="AM46" s="195"/>
      <c r="AN46" s="195"/>
      <c r="AO46" s="456"/>
      <c r="AP46" s="456"/>
      <c r="AQ46" s="456"/>
      <c r="AR46" s="456"/>
      <c r="AS46" s="456"/>
      <c r="AT46" s="456"/>
      <c r="AU46" s="456"/>
      <c r="AV46" s="456"/>
      <c r="AW46" s="456"/>
    </row>
    <row r="47" spans="1:49" ht="12" thickBot="1" x14ac:dyDescent="0.25">
      <c r="A47" s="198"/>
      <c r="B47" s="166"/>
      <c r="C47" s="178"/>
      <c r="D47" s="605"/>
      <c r="E47" s="179"/>
      <c r="F47" s="180"/>
      <c r="G47" s="301"/>
      <c r="H47" s="181"/>
      <c r="I47" s="182"/>
      <c r="J47" s="614"/>
      <c r="K47" s="183"/>
      <c r="L47" s="182"/>
      <c r="M47" s="614"/>
      <c r="N47" s="183"/>
      <c r="O47" s="182"/>
      <c r="P47" s="614"/>
      <c r="Q47" s="183"/>
      <c r="R47" s="182"/>
      <c r="S47" s="614"/>
      <c r="T47" s="183"/>
      <c r="U47" s="182"/>
      <c r="V47" s="614"/>
      <c r="W47" s="183"/>
      <c r="X47" s="182"/>
      <c r="Y47" s="614"/>
      <c r="Z47" s="183"/>
      <c r="AA47" s="471"/>
      <c r="AB47" s="456"/>
      <c r="AC47" s="456"/>
      <c r="AD47" s="300"/>
      <c r="AE47" s="359"/>
      <c r="AF47" s="296"/>
      <c r="AG47" s="195"/>
      <c r="AH47" s="195"/>
      <c r="AI47" s="195"/>
      <c r="AJ47" s="195"/>
      <c r="AK47" s="195"/>
      <c r="AL47" s="195"/>
      <c r="AM47" s="195"/>
      <c r="AN47" s="195"/>
      <c r="AO47" s="456"/>
      <c r="AP47" s="456"/>
      <c r="AQ47" s="456"/>
      <c r="AR47" s="456"/>
      <c r="AS47" s="456"/>
      <c r="AT47" s="456"/>
      <c r="AU47" s="456"/>
      <c r="AV47" s="456"/>
      <c r="AW47" s="456"/>
    </row>
    <row r="48" spans="1:49" ht="12" thickBot="1" x14ac:dyDescent="0.25">
      <c r="A48" s="198"/>
      <c r="B48" s="176" t="s">
        <v>32</v>
      </c>
      <c r="C48" s="177">
        <f>C25-C46</f>
        <v>1486229</v>
      </c>
      <c r="D48" s="603"/>
      <c r="E48" s="184"/>
      <c r="F48" s="177">
        <f>F25-F46</f>
        <v>1327809.5163749997</v>
      </c>
      <c r="G48" s="603"/>
      <c r="H48" s="184"/>
      <c r="I48" s="177">
        <f>I25-I46</f>
        <v>1499043.9075</v>
      </c>
      <c r="J48" s="603"/>
      <c r="K48" s="184"/>
      <c r="L48" s="177">
        <f>L25-L46</f>
        <v>1332966.2079999999</v>
      </c>
      <c r="M48" s="603"/>
      <c r="N48" s="184"/>
      <c r="O48" s="177">
        <f>O25-O46</f>
        <v>1503950.68</v>
      </c>
      <c r="P48" s="603"/>
      <c r="Q48" s="184"/>
      <c r="R48" s="177">
        <f>R25-R46</f>
        <v>1503950.68</v>
      </c>
      <c r="S48" s="603"/>
      <c r="T48" s="184"/>
      <c r="U48" s="177">
        <f>U25-U46</f>
        <v>1503950.68</v>
      </c>
      <c r="V48" s="603"/>
      <c r="W48" s="184"/>
      <c r="X48" s="177">
        <f>X25-X46</f>
        <v>1503950.68</v>
      </c>
      <c r="Y48" s="603"/>
      <c r="Z48" s="184"/>
      <c r="AA48" s="457"/>
      <c r="AB48" s="456"/>
      <c r="AC48" s="456"/>
      <c r="AD48" s="300"/>
      <c r="AE48" s="359"/>
      <c r="AF48" s="195"/>
      <c r="AG48" s="195"/>
      <c r="AH48" s="195"/>
      <c r="AI48" s="195"/>
      <c r="AJ48" s="195"/>
      <c r="AK48" s="195"/>
      <c r="AL48" s="195"/>
      <c r="AM48" s="195"/>
      <c r="AN48" s="195"/>
      <c r="AO48" s="456"/>
      <c r="AP48" s="456"/>
      <c r="AQ48" s="456"/>
      <c r="AR48" s="456"/>
      <c r="AS48" s="456"/>
      <c r="AT48" s="456"/>
      <c r="AU48" s="456"/>
      <c r="AV48" s="456"/>
      <c r="AW48" s="456"/>
    </row>
    <row r="49" spans="1:63" s="154" customFormat="1" ht="12" thickBot="1" x14ac:dyDescent="0.25">
      <c r="A49" s="198"/>
      <c r="B49" s="190"/>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457"/>
      <c r="AB49" s="464"/>
      <c r="AC49" s="464"/>
      <c r="AD49" s="300"/>
      <c r="AE49" s="359"/>
      <c r="AF49" s="195"/>
      <c r="AG49" s="195"/>
      <c r="AH49" s="195"/>
      <c r="AI49" s="195"/>
      <c r="AJ49" s="195"/>
      <c r="AK49" s="195"/>
      <c r="AL49" s="195"/>
      <c r="AM49" s="195"/>
      <c r="AN49" s="195"/>
      <c r="AO49" s="464"/>
      <c r="AP49" s="200"/>
      <c r="AQ49" s="200"/>
      <c r="AR49" s="200"/>
      <c r="AS49" s="200"/>
      <c r="AT49" s="200"/>
      <c r="AU49" s="200"/>
      <c r="AV49" s="200"/>
      <c r="AW49" s="200"/>
      <c r="AX49" s="195"/>
      <c r="AY49" s="195"/>
      <c r="AZ49" s="195"/>
      <c r="BA49" s="195"/>
      <c r="BB49" s="195"/>
      <c r="BC49" s="195"/>
      <c r="BD49" s="195"/>
      <c r="BE49" s="195"/>
      <c r="BF49" s="195"/>
      <c r="BG49" s="195"/>
      <c r="BH49" s="195"/>
      <c r="BI49" s="195"/>
      <c r="BJ49" s="195"/>
      <c r="BK49" s="195"/>
    </row>
    <row r="50" spans="1:63" ht="12" thickBot="1" x14ac:dyDescent="0.25">
      <c r="A50" s="198"/>
      <c r="B50" s="176" t="s">
        <v>33</v>
      </c>
      <c r="C50" s="177"/>
      <c r="D50" s="603"/>
      <c r="E50" s="572"/>
      <c r="F50" s="177"/>
      <c r="G50" s="603"/>
      <c r="H50" s="572"/>
      <c r="I50" s="177"/>
      <c r="J50" s="603"/>
      <c r="K50" s="572"/>
      <c r="L50" s="177"/>
      <c r="M50" s="603"/>
      <c r="N50" s="572"/>
      <c r="O50" s="177"/>
      <c r="P50" s="603"/>
      <c r="Q50" s="572"/>
      <c r="R50" s="177"/>
      <c r="S50" s="603"/>
      <c r="T50" s="572"/>
      <c r="U50" s="177"/>
      <c r="V50" s="603"/>
      <c r="W50" s="572"/>
      <c r="X50" s="177"/>
      <c r="Y50" s="603"/>
      <c r="Z50" s="572"/>
      <c r="AA50" s="457"/>
      <c r="AB50" s="456"/>
      <c r="AC50" s="456"/>
      <c r="AD50" s="295"/>
      <c r="AE50" s="296"/>
      <c r="AF50" s="296"/>
      <c r="AG50" s="195"/>
      <c r="AH50" s="195"/>
      <c r="AI50" s="195"/>
      <c r="AJ50" s="195"/>
      <c r="AK50" s="195"/>
      <c r="AL50" s="195"/>
      <c r="AM50" s="195"/>
      <c r="AN50" s="195"/>
      <c r="AO50" s="456"/>
      <c r="AP50" s="456"/>
      <c r="AQ50" s="456"/>
      <c r="AR50" s="456"/>
      <c r="AS50" s="456"/>
      <c r="AT50" s="456"/>
      <c r="AU50" s="456"/>
      <c r="AV50" s="456"/>
      <c r="AW50" s="456"/>
    </row>
    <row r="51" spans="1:63" x14ac:dyDescent="0.2">
      <c r="A51" s="198"/>
      <c r="B51" s="161" t="s">
        <v>15</v>
      </c>
      <c r="C51" s="159">
        <f>PMT(C52/12,C53*12,-C12)*12</f>
        <v>773023.13713748031</v>
      </c>
      <c r="D51" s="197"/>
      <c r="E51" s="160"/>
      <c r="F51" s="159">
        <f>PMT(F52/12,F53*12,-F12)*12</f>
        <v>724709.19106638781</v>
      </c>
      <c r="G51" s="197"/>
      <c r="H51" s="160"/>
      <c r="I51" s="159">
        <f>PMT(I52/12,I53*12,-I12)*12</f>
        <v>724709.19106638781</v>
      </c>
      <c r="J51" s="197"/>
      <c r="K51" s="160"/>
      <c r="L51" s="159">
        <f>PMT(L52/12,L53*12,-L12)*12</f>
        <v>776211.23671662901</v>
      </c>
      <c r="M51" s="197"/>
      <c r="N51" s="160"/>
      <c r="O51" s="159">
        <f>PMT(O52/12,O53*12,-O12)*12</f>
        <v>0</v>
      </c>
      <c r="P51" s="197"/>
      <c r="Q51" s="160"/>
      <c r="R51" s="159">
        <f>PMT(R52/12,R53*12,-R12)*12</f>
        <v>0</v>
      </c>
      <c r="S51" s="197"/>
      <c r="T51" s="160"/>
      <c r="U51" s="159">
        <f>PMT(U52/12,U53*12,-U12)*12</f>
        <v>0</v>
      </c>
      <c r="V51" s="197"/>
      <c r="W51" s="160"/>
      <c r="X51" s="159">
        <f>PMT(X52/12,X53*12,-X12)*12</f>
        <v>0</v>
      </c>
      <c r="Y51" s="197"/>
      <c r="Z51" s="160"/>
      <c r="AA51" s="455"/>
      <c r="AB51" s="456"/>
      <c r="AC51" s="456"/>
      <c r="AD51" s="295"/>
      <c r="AE51" s="359"/>
      <c r="AF51" s="296"/>
      <c r="AG51" s="195"/>
      <c r="AH51" s="195"/>
      <c r="AI51" s="195"/>
      <c r="AJ51" s="195"/>
      <c r="AK51" s="195"/>
      <c r="AL51" s="195"/>
      <c r="AM51" s="195"/>
      <c r="AN51" s="195"/>
      <c r="AO51" s="456"/>
      <c r="AP51" s="456"/>
      <c r="AQ51" s="456"/>
      <c r="AR51" s="456"/>
      <c r="AS51" s="456"/>
      <c r="AT51" s="456"/>
      <c r="AU51" s="456"/>
      <c r="AV51" s="456"/>
      <c r="AW51" s="456"/>
    </row>
    <row r="52" spans="1:63" x14ac:dyDescent="0.2">
      <c r="A52" s="198"/>
      <c r="B52" s="118" t="s">
        <v>13</v>
      </c>
      <c r="C52" s="880">
        <v>0.05</v>
      </c>
      <c r="D52" s="428"/>
      <c r="E52" s="160"/>
      <c r="F52" s="882">
        <f>C52</f>
        <v>0.05</v>
      </c>
      <c r="G52" s="358"/>
      <c r="H52" s="160"/>
      <c r="I52" s="882">
        <f>F52</f>
        <v>0.05</v>
      </c>
      <c r="J52" s="358"/>
      <c r="K52" s="160"/>
      <c r="L52" s="882">
        <v>4.7500000000000001E-2</v>
      </c>
      <c r="M52" s="358"/>
      <c r="N52" s="160"/>
      <c r="O52" s="882">
        <f>L52</f>
        <v>4.7500000000000001E-2</v>
      </c>
      <c r="P52" s="358"/>
      <c r="Q52" s="160"/>
      <c r="R52" s="882">
        <f>O52</f>
        <v>4.7500000000000001E-2</v>
      </c>
      <c r="S52" s="358"/>
      <c r="T52" s="160"/>
      <c r="U52" s="882">
        <f>R52</f>
        <v>4.7500000000000001E-2</v>
      </c>
      <c r="V52" s="358"/>
      <c r="W52" s="160"/>
      <c r="X52" s="882">
        <f>U52</f>
        <v>4.7500000000000001E-2</v>
      </c>
      <c r="Y52" s="358"/>
      <c r="Z52" s="160"/>
      <c r="AA52" s="455"/>
      <c r="AB52" s="456"/>
      <c r="AC52" s="456"/>
      <c r="AD52" s="295"/>
      <c r="AE52" s="359"/>
      <c r="AF52" s="296"/>
      <c r="AG52" s="195"/>
      <c r="AH52" s="195"/>
      <c r="AI52" s="195"/>
      <c r="AJ52" s="195"/>
      <c r="AK52" s="195"/>
      <c r="AL52" s="195"/>
      <c r="AM52" s="195"/>
      <c r="AN52" s="195"/>
      <c r="AO52" s="456"/>
      <c r="AP52" s="456"/>
      <c r="AQ52" s="456"/>
      <c r="AR52" s="456"/>
      <c r="AS52" s="456"/>
      <c r="AT52" s="456"/>
      <c r="AU52" s="456"/>
      <c r="AV52" s="456"/>
      <c r="AW52" s="456"/>
    </row>
    <row r="53" spans="1:63" x14ac:dyDescent="0.2">
      <c r="A53" s="198"/>
      <c r="B53" s="118" t="s">
        <v>173</v>
      </c>
      <c r="C53" s="881">
        <v>30</v>
      </c>
      <c r="D53" s="606"/>
      <c r="E53" s="160"/>
      <c r="F53" s="883">
        <f>C53</f>
        <v>30</v>
      </c>
      <c r="G53" s="613"/>
      <c r="H53" s="160"/>
      <c r="I53" s="883">
        <f>F53</f>
        <v>30</v>
      </c>
      <c r="J53" s="613"/>
      <c r="K53" s="160"/>
      <c r="L53" s="883">
        <f>I53</f>
        <v>30</v>
      </c>
      <c r="M53" s="613"/>
      <c r="N53" s="160"/>
      <c r="O53" s="883">
        <f>L53</f>
        <v>30</v>
      </c>
      <c r="P53" s="613"/>
      <c r="Q53" s="160"/>
      <c r="R53" s="883">
        <f>O53</f>
        <v>30</v>
      </c>
      <c r="S53" s="613"/>
      <c r="T53" s="160"/>
      <c r="U53" s="883">
        <f>R53</f>
        <v>30</v>
      </c>
      <c r="V53" s="613"/>
      <c r="W53" s="160"/>
      <c r="X53" s="883">
        <f>U53</f>
        <v>30</v>
      </c>
      <c r="Y53" s="613"/>
      <c r="Z53" s="160"/>
      <c r="AA53" s="455"/>
      <c r="AB53" s="456"/>
      <c r="AC53" s="456"/>
      <c r="AD53" s="295"/>
      <c r="AE53" s="359"/>
      <c r="AF53" s="296"/>
      <c r="AG53" s="195"/>
      <c r="AH53" s="195"/>
      <c r="AI53" s="195"/>
      <c r="AJ53" s="195"/>
      <c r="AK53" s="195"/>
      <c r="AL53" s="195"/>
      <c r="AM53" s="195"/>
      <c r="AN53" s="195"/>
      <c r="AO53" s="456"/>
      <c r="AP53" s="456"/>
      <c r="AQ53" s="456"/>
      <c r="AR53" s="456"/>
      <c r="AS53" s="456"/>
      <c r="AT53" s="456"/>
      <c r="AU53" s="456"/>
      <c r="AV53" s="456"/>
      <c r="AW53" s="456"/>
    </row>
    <row r="54" spans="1:63" x14ac:dyDescent="0.2">
      <c r="A54" s="198"/>
      <c r="B54" s="151" t="s">
        <v>74</v>
      </c>
      <c r="C54" s="159">
        <f>C48-C51</f>
        <v>713205.86286251969</v>
      </c>
      <c r="D54" s="197"/>
      <c r="E54" s="160"/>
      <c r="F54" s="159">
        <f>F48-F51</f>
        <v>603100.32530861185</v>
      </c>
      <c r="G54" s="197"/>
      <c r="H54" s="160"/>
      <c r="I54" s="159">
        <f>I48-I51</f>
        <v>774334.71643361216</v>
      </c>
      <c r="J54" s="197"/>
      <c r="K54" s="160"/>
      <c r="L54" s="159">
        <f>L48-L51</f>
        <v>556754.97128337086</v>
      </c>
      <c r="M54" s="197"/>
      <c r="N54" s="160"/>
      <c r="O54" s="159">
        <f>O48-O51</f>
        <v>1503950.68</v>
      </c>
      <c r="P54" s="197"/>
      <c r="Q54" s="160"/>
      <c r="R54" s="159">
        <f>R48-R51</f>
        <v>1503950.68</v>
      </c>
      <c r="S54" s="197"/>
      <c r="T54" s="160"/>
      <c r="U54" s="159">
        <f>U48-U51</f>
        <v>1503950.68</v>
      </c>
      <c r="V54" s="197"/>
      <c r="W54" s="160"/>
      <c r="X54" s="159">
        <f>X48-X51</f>
        <v>1503950.68</v>
      </c>
      <c r="Y54" s="197"/>
      <c r="Z54" s="160"/>
      <c r="AA54" s="455"/>
      <c r="AB54" s="456"/>
      <c r="AC54" s="456"/>
      <c r="AD54" s="295"/>
      <c r="AE54" s="296"/>
      <c r="AF54" s="296"/>
      <c r="AG54" s="195"/>
      <c r="AH54" s="195"/>
      <c r="AI54" s="195"/>
      <c r="AJ54" s="195"/>
      <c r="AK54" s="195"/>
      <c r="AL54" s="195"/>
      <c r="AM54" s="195"/>
      <c r="AN54" s="195"/>
      <c r="AO54" s="456"/>
      <c r="AP54" s="456"/>
      <c r="AQ54" s="456"/>
      <c r="AR54" s="456"/>
      <c r="AS54" s="456"/>
      <c r="AT54" s="456"/>
      <c r="AU54" s="456"/>
      <c r="AV54" s="456"/>
      <c r="AW54" s="456"/>
    </row>
    <row r="55" spans="1:63" x14ac:dyDescent="0.2">
      <c r="A55" s="198"/>
      <c r="B55" s="151" t="s">
        <v>34</v>
      </c>
      <c r="C55" s="185">
        <f>IF(C7=0,0,C48/C7)</f>
        <v>9.908193333333333E-2</v>
      </c>
      <c r="D55" s="358"/>
      <c r="E55" s="167"/>
      <c r="F55" s="185">
        <f>IF(F7=0,0,F48/F7)</f>
        <v>8.852063442499998E-2</v>
      </c>
      <c r="G55" s="358"/>
      <c r="H55" s="167"/>
      <c r="I55" s="185">
        <f>IF(I7=0,0,I48/I7)</f>
        <v>9.9936260499999999E-2</v>
      </c>
      <c r="J55" s="358"/>
      <c r="K55" s="167"/>
      <c r="L55" s="185">
        <f>IF(L7=0,0,L48/L7)</f>
        <v>8.5997819870967732E-2</v>
      </c>
      <c r="M55" s="358"/>
      <c r="N55" s="167"/>
      <c r="O55" s="185">
        <f>IF(O7=0,0,O48/O7)</f>
        <v>0</v>
      </c>
      <c r="P55" s="358"/>
      <c r="Q55" s="167"/>
      <c r="R55" s="185">
        <f>IF(R7=0,0,R48/R7)</f>
        <v>0</v>
      </c>
      <c r="S55" s="358"/>
      <c r="T55" s="167"/>
      <c r="U55" s="185">
        <f>IF(U7=0,0,U48/U7)</f>
        <v>0</v>
      </c>
      <c r="V55" s="358"/>
      <c r="W55" s="167"/>
      <c r="X55" s="185">
        <f>IF(X7=0,0,X48/X7)</f>
        <v>0</v>
      </c>
      <c r="Y55" s="358"/>
      <c r="Z55" s="167"/>
      <c r="AA55" s="468"/>
      <c r="AB55" s="456"/>
      <c r="AC55" s="456"/>
      <c r="AD55" s="300"/>
      <c r="AE55" s="196"/>
      <c r="AF55" s="196"/>
      <c r="AG55" s="195"/>
      <c r="AH55" s="195"/>
      <c r="AI55" s="195"/>
      <c r="AJ55" s="195"/>
      <c r="AK55" s="195"/>
      <c r="AL55" s="195"/>
      <c r="AM55" s="195"/>
      <c r="AN55" s="195"/>
      <c r="AO55" s="456"/>
      <c r="AP55" s="456"/>
      <c r="AQ55" s="456"/>
      <c r="AR55" s="456"/>
      <c r="AS55" s="456"/>
      <c r="AT55" s="456"/>
      <c r="AU55" s="456"/>
      <c r="AV55" s="456"/>
      <c r="AW55" s="456"/>
    </row>
    <row r="56" spans="1:63" x14ac:dyDescent="0.2">
      <c r="A56" s="198"/>
      <c r="B56" s="161" t="s">
        <v>76</v>
      </c>
      <c r="C56" s="185">
        <f>IF(C15=0,0,C54/C15)</f>
        <v>0.16005320232037346</v>
      </c>
      <c r="D56" s="358"/>
      <c r="E56" s="167"/>
      <c r="F56" s="185">
        <f>IF(F15=0,0,F54/F15)</f>
        <v>0.115845939441548</v>
      </c>
      <c r="G56" s="358"/>
      <c r="H56" s="167"/>
      <c r="I56" s="185">
        <f>IF(I15=0,0,I54/I15)</f>
        <v>0.14873733092674818</v>
      </c>
      <c r="J56" s="358"/>
      <c r="K56" s="167"/>
      <c r="L56" s="185">
        <f>IF(L15=0,0,L54/L15)</f>
        <v>0.12220111008656336</v>
      </c>
      <c r="M56" s="358"/>
      <c r="N56" s="167"/>
      <c r="O56" s="185">
        <f>IF(O15=0,0,O54/O15)</f>
        <v>1.0328941846109185</v>
      </c>
      <c r="P56" s="358"/>
      <c r="Q56" s="167"/>
      <c r="R56" s="185">
        <f>IF(R15=0,0,R54/R15)</f>
        <v>1.0328941846109185</v>
      </c>
      <c r="S56" s="358"/>
      <c r="T56" s="167"/>
      <c r="U56" s="185">
        <f>IF(U15=0,0,U54/U15)</f>
        <v>1.0328941846109185</v>
      </c>
      <c r="V56" s="358"/>
      <c r="W56" s="167"/>
      <c r="X56" s="185">
        <f>IF(X15=0,0,X54/X15)</f>
        <v>1.0328941846109185</v>
      </c>
      <c r="Y56" s="358"/>
      <c r="Z56" s="167"/>
      <c r="AA56" s="468"/>
      <c r="AB56" s="456"/>
      <c r="AC56" s="456"/>
      <c r="AD56" s="300"/>
      <c r="AE56" s="196"/>
      <c r="AF56" s="196"/>
      <c r="AG56" s="195"/>
      <c r="AH56" s="195"/>
      <c r="AI56" s="195"/>
      <c r="AJ56" s="195"/>
      <c r="AK56" s="195"/>
      <c r="AL56" s="195"/>
      <c r="AM56" s="195"/>
      <c r="AN56" s="195"/>
      <c r="AO56" s="456"/>
      <c r="AP56" s="456"/>
      <c r="AQ56" s="456"/>
      <c r="AR56" s="456"/>
      <c r="AS56" s="456"/>
      <c r="AT56" s="456"/>
      <c r="AU56" s="456"/>
      <c r="AV56" s="456"/>
      <c r="AW56" s="456"/>
    </row>
    <row r="57" spans="1:63" ht="12" thickBot="1" x14ac:dyDescent="0.25">
      <c r="A57" s="198"/>
      <c r="B57" s="186" t="s">
        <v>87</v>
      </c>
      <c r="C57" s="187">
        <f>IF(C51=0,0,C48/C51)</f>
        <v>1.922619037644248</v>
      </c>
      <c r="D57" s="607"/>
      <c r="E57" s="188"/>
      <c r="F57" s="187">
        <f>IF(F51=0,0,F48/F51)</f>
        <v>1.8321963247370547</v>
      </c>
      <c r="G57" s="607"/>
      <c r="H57" s="188"/>
      <c r="I57" s="187">
        <f>IF(I51=0,0,I48/I51)</f>
        <v>2.0684764674975376</v>
      </c>
      <c r="J57" s="607"/>
      <c r="K57" s="188"/>
      <c r="L57" s="187">
        <f>IF(L51=0,0,L48/L51)</f>
        <v>1.7172724961293302</v>
      </c>
      <c r="M57" s="607"/>
      <c r="N57" s="188"/>
      <c r="O57" s="187">
        <f>IF(O51=0,0,O48/O51)</f>
        <v>0</v>
      </c>
      <c r="P57" s="607"/>
      <c r="Q57" s="188"/>
      <c r="R57" s="187">
        <f>IF(R51=0,0,R48/R51)</f>
        <v>0</v>
      </c>
      <c r="S57" s="607"/>
      <c r="T57" s="188"/>
      <c r="U57" s="187">
        <f>IF(U51=0,0,U48/U51)</f>
        <v>0</v>
      </c>
      <c r="V57" s="607"/>
      <c r="W57" s="188"/>
      <c r="X57" s="187">
        <f>IF(X51=0,0,X48/X51)</f>
        <v>0</v>
      </c>
      <c r="Y57" s="607"/>
      <c r="Z57" s="188"/>
      <c r="AA57" s="465"/>
      <c r="AB57" s="456"/>
      <c r="AC57" s="456"/>
      <c r="AD57" s="300"/>
      <c r="AE57" s="196"/>
      <c r="AF57" s="196"/>
      <c r="AG57" s="195"/>
      <c r="AH57" s="195"/>
      <c r="AI57" s="195"/>
      <c r="AJ57" s="195"/>
      <c r="AK57" s="195"/>
      <c r="AL57" s="195"/>
      <c r="AM57" s="195"/>
      <c r="AN57" s="195"/>
      <c r="AO57" s="456"/>
      <c r="AP57" s="456"/>
      <c r="AQ57" s="456"/>
      <c r="AR57" s="456"/>
      <c r="AS57" s="456"/>
      <c r="AT57" s="456"/>
      <c r="AU57" s="456"/>
      <c r="AV57" s="456"/>
      <c r="AW57" s="456"/>
    </row>
    <row r="58" spans="1:63" ht="12" thickBot="1" x14ac:dyDescent="0.25">
      <c r="A58" s="198"/>
      <c r="B58" s="200"/>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455"/>
      <c r="AB58" s="456"/>
      <c r="AC58" s="456"/>
      <c r="AD58" s="300"/>
      <c r="AE58" s="196"/>
      <c r="AF58" s="196"/>
      <c r="AG58" s="195"/>
      <c r="AH58" s="195"/>
      <c r="AI58" s="195"/>
      <c r="AJ58" s="195"/>
      <c r="AK58" s="195"/>
      <c r="AL58" s="195"/>
      <c r="AM58" s="195"/>
      <c r="AN58" s="195"/>
      <c r="AO58" s="456"/>
      <c r="AP58" s="456"/>
      <c r="AQ58" s="456"/>
      <c r="AR58" s="456"/>
      <c r="AS58" s="456"/>
      <c r="AT58" s="456"/>
      <c r="AU58" s="456"/>
      <c r="AV58" s="456"/>
      <c r="AW58" s="456"/>
    </row>
    <row r="59" spans="1:63" ht="12" thickBot="1" x14ac:dyDescent="0.25">
      <c r="A59" s="198"/>
      <c r="B59" s="176" t="s">
        <v>125</v>
      </c>
      <c r="C59" s="177"/>
      <c r="D59" s="603"/>
      <c r="E59" s="572"/>
      <c r="F59" s="177"/>
      <c r="G59" s="603"/>
      <c r="H59" s="572"/>
      <c r="I59" s="177"/>
      <c r="J59" s="603"/>
      <c r="K59" s="572"/>
      <c r="L59" s="177"/>
      <c r="M59" s="603"/>
      <c r="N59" s="572"/>
      <c r="O59" s="177"/>
      <c r="P59" s="603"/>
      <c r="Q59" s="572"/>
      <c r="R59" s="177"/>
      <c r="S59" s="603"/>
      <c r="T59" s="572"/>
      <c r="U59" s="177"/>
      <c r="V59" s="603"/>
      <c r="W59" s="572"/>
      <c r="X59" s="177"/>
      <c r="Y59" s="603"/>
      <c r="Z59" s="572"/>
      <c r="AA59" s="457"/>
      <c r="AB59" s="456"/>
      <c r="AC59" s="456"/>
      <c r="AD59" s="295"/>
      <c r="AE59" s="296"/>
      <c r="AF59" s="296"/>
      <c r="AG59" s="195"/>
      <c r="AH59" s="195"/>
      <c r="AI59" s="195"/>
      <c r="AJ59" s="195"/>
      <c r="AK59" s="195"/>
      <c r="AL59" s="195"/>
      <c r="AM59" s="195"/>
      <c r="AN59" s="195"/>
      <c r="AO59" s="456"/>
      <c r="AP59" s="456"/>
      <c r="AQ59" s="456"/>
      <c r="AR59" s="456"/>
      <c r="AS59" s="456"/>
      <c r="AT59" s="456"/>
      <c r="AU59" s="456"/>
      <c r="AV59" s="456"/>
      <c r="AW59" s="456"/>
    </row>
    <row r="60" spans="1:63" x14ac:dyDescent="0.2">
      <c r="A60" s="195"/>
      <c r="B60" s="729">
        <v>0.06</v>
      </c>
      <c r="C60" s="159">
        <f>C48/$B$60</f>
        <v>24770483.333333336</v>
      </c>
      <c r="D60" s="197"/>
      <c r="E60" s="160"/>
      <c r="F60" s="159">
        <f>F48/$B$60</f>
        <v>22130158.606249996</v>
      </c>
      <c r="G60" s="197"/>
      <c r="H60" s="160"/>
      <c r="I60" s="197">
        <f>I48/$B$60</f>
        <v>24984065.125</v>
      </c>
      <c r="J60" s="197"/>
      <c r="K60" s="160"/>
      <c r="L60" s="197">
        <f>L48/$B$60</f>
        <v>22216103.466666665</v>
      </c>
      <c r="M60" s="197"/>
      <c r="N60" s="160"/>
      <c r="O60" s="197">
        <f>O48/$B$60</f>
        <v>25065844.666666668</v>
      </c>
      <c r="P60" s="197"/>
      <c r="Q60" s="160"/>
      <c r="R60" s="197">
        <f>R48/$B$60</f>
        <v>25065844.666666668</v>
      </c>
      <c r="S60" s="197"/>
      <c r="T60" s="160"/>
      <c r="U60" s="197">
        <f>U48/$B$60</f>
        <v>25065844.666666668</v>
      </c>
      <c r="V60" s="197"/>
      <c r="W60" s="160"/>
      <c r="X60" s="197">
        <f>X48/$B$60</f>
        <v>25065844.666666668</v>
      </c>
      <c r="Y60" s="197"/>
      <c r="Z60" s="160"/>
      <c r="AA60" s="455"/>
      <c r="AB60" s="456"/>
      <c r="AC60" s="456"/>
      <c r="AD60" s="300"/>
      <c r="AE60" s="196"/>
      <c r="AF60" s="196"/>
      <c r="AG60" s="195"/>
      <c r="AH60" s="195"/>
      <c r="AI60" s="195"/>
      <c r="AJ60" s="195"/>
      <c r="AK60" s="195"/>
      <c r="AL60" s="195"/>
      <c r="AM60" s="195"/>
      <c r="AN60" s="195"/>
      <c r="AO60" s="456"/>
      <c r="AP60" s="456"/>
      <c r="AQ60" s="456"/>
      <c r="AR60" s="456"/>
      <c r="AS60" s="456"/>
      <c r="AT60" s="456"/>
      <c r="AU60" s="456"/>
      <c r="AV60" s="456"/>
      <c r="AW60" s="456"/>
    </row>
    <row r="61" spans="1:63" x14ac:dyDescent="0.2">
      <c r="A61" s="195"/>
      <c r="B61" s="729">
        <v>7.0000000000000007E-2</v>
      </c>
      <c r="C61" s="159">
        <f>C48/$B$61</f>
        <v>21231842.857142854</v>
      </c>
      <c r="D61" s="197"/>
      <c r="E61" s="160"/>
      <c r="F61" s="159">
        <f>F48/$B$61</f>
        <v>18968707.376785707</v>
      </c>
      <c r="G61" s="197"/>
      <c r="H61" s="160"/>
      <c r="I61" s="197">
        <f>I48/$B$61</f>
        <v>21414912.964285713</v>
      </c>
      <c r="J61" s="197"/>
      <c r="K61" s="160"/>
      <c r="L61" s="197">
        <f>L48/$B$61</f>
        <v>19042374.399999995</v>
      </c>
      <c r="M61" s="197"/>
      <c r="N61" s="160"/>
      <c r="O61" s="197">
        <f>O48/$B$61</f>
        <v>21485009.714285713</v>
      </c>
      <c r="P61" s="197"/>
      <c r="Q61" s="160"/>
      <c r="R61" s="197">
        <f>R48/$B$61</f>
        <v>21485009.714285713</v>
      </c>
      <c r="S61" s="197"/>
      <c r="T61" s="160"/>
      <c r="U61" s="197">
        <f>U48/$B$61</f>
        <v>21485009.714285713</v>
      </c>
      <c r="V61" s="197"/>
      <c r="W61" s="160"/>
      <c r="X61" s="197">
        <f>X48/$B$61</f>
        <v>21485009.714285713</v>
      </c>
      <c r="Y61" s="197"/>
      <c r="Z61" s="160"/>
      <c r="AA61" s="455"/>
      <c r="AB61" s="456"/>
      <c r="AC61" s="456"/>
      <c r="AD61" s="300"/>
      <c r="AE61" s="196"/>
      <c r="AF61" s="196"/>
      <c r="AG61" s="195"/>
      <c r="AH61" s="195"/>
      <c r="AI61" s="195"/>
      <c r="AJ61" s="195"/>
      <c r="AK61" s="195"/>
      <c r="AL61" s="195"/>
      <c r="AM61" s="195"/>
      <c r="AN61" s="195"/>
      <c r="AO61" s="456"/>
      <c r="AP61" s="456"/>
      <c r="AQ61" s="456"/>
      <c r="AR61" s="456"/>
      <c r="AS61" s="456"/>
      <c r="AT61" s="456"/>
      <c r="AU61" s="456"/>
      <c r="AV61" s="456"/>
      <c r="AW61" s="456"/>
    </row>
    <row r="62" spans="1:63" x14ac:dyDescent="0.2">
      <c r="A62" s="195"/>
      <c r="B62" s="729">
        <v>0.08</v>
      </c>
      <c r="C62" s="159">
        <f>C48/$B$62</f>
        <v>18577862.5</v>
      </c>
      <c r="D62" s="197"/>
      <c r="E62" s="160"/>
      <c r="F62" s="159">
        <f>F48/$B$62</f>
        <v>16597618.954687495</v>
      </c>
      <c r="G62" s="197"/>
      <c r="H62" s="160"/>
      <c r="I62" s="197">
        <f>I48/$B$62</f>
        <v>18738048.84375</v>
      </c>
      <c r="J62" s="197"/>
      <c r="K62" s="160"/>
      <c r="L62" s="197">
        <f>L48/$B$62</f>
        <v>16662077.599999998</v>
      </c>
      <c r="M62" s="197"/>
      <c r="N62" s="160"/>
      <c r="O62" s="197">
        <f>O48/$B$62</f>
        <v>18799383.5</v>
      </c>
      <c r="P62" s="197"/>
      <c r="Q62" s="160"/>
      <c r="R62" s="197">
        <f>R48/$B$62</f>
        <v>18799383.5</v>
      </c>
      <c r="S62" s="197"/>
      <c r="T62" s="160"/>
      <c r="U62" s="197">
        <f>U48/$B$62</f>
        <v>18799383.5</v>
      </c>
      <c r="V62" s="197"/>
      <c r="W62" s="160"/>
      <c r="X62" s="197">
        <f>X48/$B$62</f>
        <v>18799383.5</v>
      </c>
      <c r="Y62" s="197"/>
      <c r="Z62" s="160"/>
      <c r="AA62" s="455"/>
      <c r="AB62" s="456"/>
      <c r="AC62" s="456"/>
      <c r="AD62" s="300"/>
      <c r="AE62" s="196"/>
      <c r="AF62" s="196"/>
      <c r="AG62" s="195"/>
      <c r="AH62" s="195"/>
      <c r="AI62" s="195"/>
      <c r="AJ62" s="195"/>
      <c r="AK62" s="195"/>
      <c r="AL62" s="195"/>
      <c r="AM62" s="195"/>
      <c r="AN62" s="195"/>
      <c r="AO62" s="456"/>
      <c r="AP62" s="456"/>
      <c r="AQ62" s="456"/>
      <c r="AR62" s="456"/>
      <c r="AS62" s="456"/>
      <c r="AT62" s="456"/>
      <c r="AU62" s="456"/>
      <c r="AV62" s="456"/>
      <c r="AW62" s="456"/>
    </row>
    <row r="63" spans="1:63" ht="12" thickBot="1" x14ac:dyDescent="0.25">
      <c r="A63" s="195"/>
      <c r="B63" s="730">
        <v>0.09</v>
      </c>
      <c r="C63" s="265">
        <f>C48/$B$63</f>
        <v>16513655.555555556</v>
      </c>
      <c r="D63" s="264"/>
      <c r="E63" s="203"/>
      <c r="F63" s="265">
        <f>F48/$B$63</f>
        <v>14753439.070833331</v>
      </c>
      <c r="G63" s="264"/>
      <c r="H63" s="203"/>
      <c r="I63" s="264">
        <f>I48/$B$63</f>
        <v>16656043.416666666</v>
      </c>
      <c r="J63" s="264"/>
      <c r="K63" s="203"/>
      <c r="L63" s="264">
        <f>L48/$B$63</f>
        <v>14810735.644444443</v>
      </c>
      <c r="M63" s="264"/>
      <c r="N63" s="203"/>
      <c r="O63" s="264">
        <f>O48/$B$63</f>
        <v>16710563.11111111</v>
      </c>
      <c r="P63" s="264"/>
      <c r="Q63" s="203"/>
      <c r="R63" s="264">
        <f>R48/$B$63</f>
        <v>16710563.11111111</v>
      </c>
      <c r="S63" s="264"/>
      <c r="T63" s="203"/>
      <c r="U63" s="264">
        <f>U48/$B$63</f>
        <v>16710563.11111111</v>
      </c>
      <c r="V63" s="264"/>
      <c r="W63" s="203"/>
      <c r="X63" s="264">
        <f>X48/$B$63</f>
        <v>16710563.11111111</v>
      </c>
      <c r="Y63" s="264"/>
      <c r="Z63" s="203"/>
      <c r="AA63" s="455"/>
      <c r="AB63" s="456"/>
      <c r="AC63" s="456"/>
      <c r="AD63" s="300"/>
      <c r="AE63" s="196"/>
      <c r="AF63" s="196"/>
      <c r="AG63" s="195"/>
      <c r="AH63" s="195"/>
      <c r="AI63" s="195"/>
      <c r="AJ63" s="195"/>
      <c r="AK63" s="195"/>
      <c r="AL63" s="195"/>
      <c r="AM63" s="195"/>
      <c r="AN63" s="195"/>
      <c r="AO63" s="456"/>
      <c r="AP63" s="456"/>
      <c r="AQ63" s="456"/>
      <c r="AR63" s="456"/>
      <c r="AS63" s="456"/>
      <c r="AT63" s="456"/>
      <c r="AU63" s="456"/>
      <c r="AV63" s="456"/>
      <c r="AW63" s="456"/>
    </row>
    <row r="64" spans="1:63" x14ac:dyDescent="0.2">
      <c r="A64" s="195"/>
      <c r="B64" s="195"/>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472"/>
      <c r="AB64" s="456"/>
      <c r="AC64" s="456"/>
      <c r="AD64" s="300"/>
      <c r="AE64" s="196"/>
      <c r="AF64" s="196"/>
      <c r="AG64" s="195"/>
      <c r="AH64" s="195"/>
      <c r="AI64" s="195"/>
      <c r="AJ64" s="195"/>
      <c r="AK64" s="195"/>
      <c r="AL64" s="195"/>
      <c r="AM64" s="195"/>
      <c r="AN64" s="195"/>
      <c r="AO64" s="456"/>
      <c r="AP64" s="456"/>
      <c r="AQ64" s="456"/>
      <c r="AR64" s="456"/>
      <c r="AS64" s="456"/>
      <c r="AT64" s="456"/>
      <c r="AU64" s="456"/>
      <c r="AV64" s="456"/>
      <c r="AW64" s="456"/>
    </row>
    <row r="65" spans="1:49" ht="12.75" x14ac:dyDescent="0.2">
      <c r="A65" s="200"/>
      <c r="B65" s="218" t="s">
        <v>301</v>
      </c>
      <c r="C65" s="219"/>
      <c r="D65" s="219"/>
      <c r="E65" s="219"/>
      <c r="F65" s="197"/>
      <c r="G65" s="197"/>
      <c r="H65" s="197"/>
      <c r="I65" s="197"/>
      <c r="J65" s="197"/>
      <c r="K65" s="197"/>
      <c r="L65" s="197"/>
      <c r="M65" s="197"/>
      <c r="N65" s="197"/>
      <c r="O65" s="197"/>
      <c r="P65" s="197"/>
      <c r="Q65" s="197"/>
      <c r="R65" s="197"/>
      <c r="S65" s="197"/>
      <c r="T65" s="197"/>
      <c r="U65" s="197"/>
      <c r="V65" s="197"/>
      <c r="W65" s="197"/>
      <c r="X65" s="197"/>
      <c r="Y65" s="197"/>
      <c r="Z65" s="197"/>
      <c r="AA65" s="455"/>
      <c r="AB65" s="456"/>
      <c r="AC65" s="456"/>
      <c r="AD65" s="300"/>
      <c r="AE65" s="196"/>
      <c r="AF65" s="196"/>
      <c r="AG65" s="195"/>
      <c r="AH65" s="195"/>
      <c r="AI65" s="195"/>
      <c r="AJ65" s="195"/>
      <c r="AK65" s="195"/>
      <c r="AL65" s="195"/>
      <c r="AM65" s="195"/>
      <c r="AN65" s="195"/>
      <c r="AO65" s="456"/>
      <c r="AP65" s="456"/>
      <c r="AQ65" s="456"/>
      <c r="AR65" s="456"/>
      <c r="AS65" s="456"/>
      <c r="AT65" s="456"/>
      <c r="AU65" s="456"/>
      <c r="AV65" s="456"/>
      <c r="AW65" s="456"/>
    </row>
    <row r="66" spans="1:49" x14ac:dyDescent="0.2">
      <c r="A66" s="200"/>
      <c r="B66" s="218" t="s">
        <v>140</v>
      </c>
      <c r="C66" s="200"/>
      <c r="D66" s="200"/>
      <c r="E66" s="200"/>
      <c r="F66" s="200"/>
      <c r="G66" s="200"/>
      <c r="H66" s="197"/>
      <c r="I66" s="197"/>
      <c r="J66" s="197"/>
      <c r="K66" s="197"/>
      <c r="L66" s="197"/>
      <c r="M66" s="197"/>
      <c r="N66" s="197"/>
      <c r="O66" s="197"/>
      <c r="P66" s="197"/>
      <c r="Q66" s="197"/>
      <c r="R66" s="197"/>
      <c r="S66" s="197"/>
      <c r="T66" s="197"/>
      <c r="U66" s="197"/>
      <c r="V66" s="197"/>
      <c r="W66" s="197"/>
      <c r="X66" s="197"/>
      <c r="Y66" s="197"/>
      <c r="Z66" s="197"/>
      <c r="AA66" s="455"/>
      <c r="AB66" s="456"/>
      <c r="AC66" s="456"/>
      <c r="AD66" s="300"/>
      <c r="AE66" s="196"/>
      <c r="AF66" s="196"/>
      <c r="AG66" s="195"/>
      <c r="AH66" s="195"/>
      <c r="AI66" s="195"/>
      <c r="AJ66" s="195"/>
      <c r="AK66" s="195"/>
      <c r="AL66" s="195"/>
      <c r="AM66" s="195"/>
      <c r="AN66" s="195"/>
      <c r="AO66" s="456"/>
      <c r="AP66" s="456"/>
      <c r="AQ66" s="456"/>
      <c r="AR66" s="456"/>
      <c r="AS66" s="456"/>
      <c r="AT66" s="456"/>
      <c r="AU66" s="456"/>
      <c r="AV66" s="456"/>
      <c r="AW66" s="456"/>
    </row>
    <row r="67" spans="1:49" x14ac:dyDescent="0.2">
      <c r="A67" s="200"/>
      <c r="B67" s="195"/>
      <c r="C67" s="196"/>
      <c r="D67" s="196"/>
      <c r="E67" s="196"/>
      <c r="F67" s="196"/>
      <c r="G67" s="196"/>
      <c r="H67" s="200"/>
      <c r="I67" s="197"/>
      <c r="J67" s="197"/>
      <c r="K67" s="197"/>
      <c r="L67" s="197"/>
      <c r="M67" s="197"/>
      <c r="N67" s="197"/>
      <c r="O67" s="197"/>
      <c r="P67" s="197"/>
      <c r="Q67" s="197"/>
      <c r="R67" s="197"/>
      <c r="S67" s="197"/>
      <c r="T67" s="197"/>
      <c r="U67" s="197"/>
      <c r="V67" s="197"/>
      <c r="W67" s="197"/>
      <c r="X67" s="197"/>
      <c r="Y67" s="197"/>
      <c r="Z67" s="197"/>
      <c r="AA67" s="455"/>
      <c r="AB67" s="456"/>
      <c r="AC67" s="456"/>
      <c r="AD67" s="300"/>
      <c r="AE67" s="196"/>
      <c r="AF67" s="196"/>
      <c r="AG67" s="195"/>
      <c r="AH67" s="195"/>
      <c r="AI67" s="195"/>
      <c r="AJ67" s="195"/>
      <c r="AK67" s="195"/>
      <c r="AL67" s="195"/>
      <c r="AM67" s="195"/>
      <c r="AN67" s="195"/>
      <c r="AO67" s="456"/>
      <c r="AP67" s="456"/>
      <c r="AQ67" s="456"/>
      <c r="AR67" s="456"/>
      <c r="AS67" s="456"/>
      <c r="AT67" s="456"/>
      <c r="AU67" s="456"/>
      <c r="AV67" s="456"/>
      <c r="AW67" s="456"/>
    </row>
    <row r="68" spans="1:49" x14ac:dyDescent="0.2">
      <c r="A68" s="200"/>
      <c r="B68" s="199"/>
      <c r="C68" s="200"/>
      <c r="D68" s="200"/>
      <c r="E68" s="200"/>
      <c r="F68" s="200"/>
      <c r="G68" s="200"/>
      <c r="H68" s="199"/>
      <c r="I68" s="197"/>
      <c r="J68" s="197"/>
      <c r="K68" s="197"/>
      <c r="L68" s="197"/>
      <c r="M68" s="197"/>
      <c r="N68" s="197"/>
      <c r="O68" s="197"/>
      <c r="P68" s="197"/>
      <c r="Q68" s="197"/>
      <c r="R68" s="197"/>
      <c r="S68" s="197"/>
      <c r="T68" s="197"/>
      <c r="U68" s="197"/>
      <c r="V68" s="197"/>
      <c r="W68" s="197"/>
      <c r="X68" s="197"/>
      <c r="Y68" s="197"/>
      <c r="Z68" s="197"/>
      <c r="AA68" s="455"/>
      <c r="AB68" s="456"/>
      <c r="AC68" s="456"/>
      <c r="AD68" s="300"/>
      <c r="AE68" s="196"/>
      <c r="AF68" s="196"/>
      <c r="AG68" s="195"/>
      <c r="AH68" s="195"/>
      <c r="AI68" s="195"/>
      <c r="AJ68" s="195"/>
      <c r="AK68" s="195"/>
      <c r="AL68" s="195"/>
      <c r="AM68" s="195"/>
      <c r="AN68" s="195"/>
      <c r="AO68" s="456"/>
      <c r="AP68" s="456"/>
      <c r="AQ68" s="456"/>
      <c r="AR68" s="456"/>
      <c r="AS68" s="456"/>
      <c r="AT68" s="456"/>
      <c r="AU68" s="456"/>
      <c r="AV68" s="456"/>
      <c r="AW68" s="456"/>
    </row>
    <row r="69" spans="1:49" ht="12.75" x14ac:dyDescent="0.2">
      <c r="A69" s="195"/>
      <c r="B69" s="199"/>
      <c r="C69" s="200"/>
      <c r="D69" s="200"/>
      <c r="E69" s="219"/>
      <c r="F69" s="219"/>
      <c r="G69" s="219"/>
      <c r="H69" s="199"/>
      <c r="I69" s="196"/>
      <c r="J69" s="196"/>
      <c r="K69" s="196"/>
      <c r="L69" s="196"/>
      <c r="M69" s="196"/>
      <c r="N69" s="196"/>
      <c r="O69" s="196"/>
      <c r="P69" s="196"/>
      <c r="Q69" s="196"/>
      <c r="R69" s="196"/>
      <c r="S69" s="196"/>
      <c r="T69" s="196"/>
      <c r="U69" s="196"/>
      <c r="V69" s="196"/>
      <c r="W69" s="196"/>
      <c r="X69" s="196"/>
      <c r="Y69" s="196"/>
      <c r="Z69" s="196"/>
      <c r="AA69" s="472"/>
      <c r="AB69" s="456"/>
      <c r="AC69" s="456"/>
      <c r="AD69" s="300"/>
      <c r="AE69" s="196"/>
      <c r="AF69" s="196"/>
      <c r="AG69" s="195"/>
      <c r="AH69" s="195"/>
      <c r="AI69" s="195"/>
      <c r="AJ69" s="195"/>
      <c r="AK69" s="195"/>
      <c r="AL69" s="195"/>
      <c r="AM69" s="195"/>
      <c r="AN69" s="195"/>
      <c r="AO69" s="456"/>
      <c r="AP69" s="456"/>
      <c r="AQ69" s="456"/>
      <c r="AR69" s="456"/>
      <c r="AS69" s="456"/>
      <c r="AT69" s="456"/>
      <c r="AU69" s="456"/>
      <c r="AV69" s="456"/>
      <c r="AW69" s="456"/>
    </row>
    <row r="70" spans="1:49" x14ac:dyDescent="0.2">
      <c r="A70" s="195"/>
      <c r="B70" s="200"/>
      <c r="C70" s="197"/>
      <c r="D70" s="197"/>
      <c r="E70" s="197"/>
      <c r="F70" s="197"/>
      <c r="G70" s="197"/>
      <c r="H70" s="197"/>
      <c r="I70" s="196"/>
      <c r="J70" s="196"/>
      <c r="K70" s="196"/>
      <c r="L70" s="196"/>
      <c r="M70" s="196"/>
      <c r="N70" s="196"/>
      <c r="O70" s="196"/>
      <c r="P70" s="196"/>
      <c r="Q70" s="196"/>
      <c r="R70" s="196"/>
      <c r="S70" s="196"/>
      <c r="T70" s="196"/>
      <c r="U70" s="196"/>
      <c r="V70" s="196"/>
      <c r="W70" s="196"/>
      <c r="X70" s="196"/>
      <c r="Y70" s="196"/>
      <c r="Z70" s="196"/>
      <c r="AA70" s="472"/>
      <c r="AB70" s="456"/>
      <c r="AC70" s="456"/>
      <c r="AD70" s="300"/>
      <c r="AE70" s="196"/>
      <c r="AF70" s="196"/>
      <c r="AG70" s="195"/>
      <c r="AH70" s="195"/>
      <c r="AI70" s="195"/>
      <c r="AJ70" s="195"/>
      <c r="AK70" s="195"/>
      <c r="AL70" s="195"/>
      <c r="AM70" s="195"/>
      <c r="AN70" s="195"/>
      <c r="AO70" s="456"/>
      <c r="AP70" s="456"/>
      <c r="AQ70" s="456"/>
      <c r="AR70" s="456"/>
      <c r="AS70" s="456"/>
      <c r="AT70" s="456"/>
      <c r="AU70" s="456"/>
      <c r="AV70" s="456"/>
      <c r="AW70" s="456"/>
    </row>
    <row r="71" spans="1:49" x14ac:dyDescent="0.2">
      <c r="A71" s="195"/>
      <c r="B71" s="195"/>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472"/>
      <c r="AB71" s="456"/>
      <c r="AC71" s="456"/>
      <c r="AD71" s="300"/>
      <c r="AE71" s="196"/>
      <c r="AF71" s="196"/>
      <c r="AG71" s="195"/>
      <c r="AH71" s="195"/>
      <c r="AI71" s="195"/>
      <c r="AJ71" s="195"/>
      <c r="AK71" s="195"/>
      <c r="AL71" s="195"/>
      <c r="AM71" s="195"/>
      <c r="AN71" s="195"/>
      <c r="AO71" s="456"/>
      <c r="AP71" s="456"/>
      <c r="AQ71" s="456"/>
      <c r="AR71" s="456"/>
      <c r="AS71" s="456"/>
      <c r="AT71" s="456"/>
      <c r="AU71" s="456"/>
      <c r="AV71" s="456"/>
      <c r="AW71" s="456"/>
    </row>
    <row r="72" spans="1:49" ht="12.75" x14ac:dyDescent="0.2">
      <c r="A72" s="195"/>
      <c r="B72" s="195"/>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D72" s="300"/>
      <c r="AE72" s="196"/>
      <c r="AF72" s="196"/>
      <c r="AG72" s="195"/>
      <c r="AH72" s="195"/>
      <c r="AI72" s="195"/>
      <c r="AJ72" s="195"/>
      <c r="AK72" s="195"/>
      <c r="AL72" s="195"/>
      <c r="AM72" s="195"/>
      <c r="AN72" s="195"/>
      <c r="AO72" s="215"/>
      <c r="AP72" s="215"/>
      <c r="AQ72" s="215"/>
      <c r="AR72" s="215"/>
      <c r="AS72" s="215"/>
      <c r="AT72" s="215"/>
      <c r="AU72" s="215"/>
      <c r="AV72" s="215"/>
      <c r="AW72" s="215"/>
    </row>
    <row r="73" spans="1:49" x14ac:dyDescent="0.2">
      <c r="A73" s="195"/>
      <c r="B73" s="195"/>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D73" s="300"/>
      <c r="AE73" s="196"/>
      <c r="AF73" s="196"/>
      <c r="AG73" s="195"/>
      <c r="AH73" s="195"/>
      <c r="AI73" s="195"/>
      <c r="AJ73" s="195"/>
      <c r="AK73" s="195"/>
      <c r="AL73" s="195"/>
      <c r="AM73" s="195"/>
      <c r="AN73" s="195"/>
    </row>
    <row r="74" spans="1:49" x14ac:dyDescent="0.2">
      <c r="A74" s="195"/>
      <c r="B74" s="195"/>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D74" s="300"/>
      <c r="AE74" s="196"/>
      <c r="AF74" s="196"/>
      <c r="AG74" s="195"/>
      <c r="AH74" s="195"/>
      <c r="AI74" s="195"/>
      <c r="AJ74" s="195"/>
      <c r="AK74" s="195"/>
      <c r="AL74" s="195"/>
      <c r="AM74" s="195"/>
      <c r="AN74" s="195"/>
    </row>
    <row r="75" spans="1:49" x14ac:dyDescent="0.2">
      <c r="A75" s="195"/>
      <c r="B75" s="195"/>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D75" s="300"/>
      <c r="AE75" s="196"/>
      <c r="AF75" s="196"/>
      <c r="AG75" s="195"/>
      <c r="AH75" s="195"/>
      <c r="AI75" s="195"/>
      <c r="AJ75" s="195"/>
      <c r="AK75" s="195"/>
      <c r="AL75" s="195"/>
      <c r="AM75" s="195"/>
      <c r="AN75" s="195"/>
    </row>
    <row r="76" spans="1:49" x14ac:dyDescent="0.2">
      <c r="A76" s="195"/>
      <c r="B76" s="195"/>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D76" s="300"/>
      <c r="AE76" s="196"/>
      <c r="AF76" s="196"/>
      <c r="AG76" s="195"/>
      <c r="AH76" s="195"/>
      <c r="AI76" s="195"/>
      <c r="AJ76" s="195"/>
      <c r="AK76" s="195"/>
      <c r="AL76" s="195"/>
      <c r="AM76" s="195"/>
      <c r="AN76" s="195"/>
    </row>
    <row r="77" spans="1:49" x14ac:dyDescent="0.2">
      <c r="A77" s="195"/>
      <c r="B77" s="195"/>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D77" s="300"/>
      <c r="AE77" s="196"/>
      <c r="AF77" s="196"/>
      <c r="AG77" s="195"/>
      <c r="AH77" s="195"/>
      <c r="AI77" s="195"/>
      <c r="AJ77" s="195"/>
      <c r="AK77" s="195"/>
      <c r="AL77" s="195"/>
      <c r="AM77" s="195"/>
      <c r="AN77" s="195"/>
    </row>
    <row r="78" spans="1:49" x14ac:dyDescent="0.2">
      <c r="A78" s="195"/>
      <c r="B78" s="195"/>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D78" s="300"/>
      <c r="AE78" s="196"/>
      <c r="AF78" s="196"/>
      <c r="AG78" s="195"/>
      <c r="AH78" s="195"/>
      <c r="AI78" s="195"/>
      <c r="AJ78" s="195"/>
      <c r="AK78" s="195"/>
      <c r="AL78" s="195"/>
      <c r="AM78" s="195"/>
      <c r="AN78" s="195"/>
    </row>
    <row r="79" spans="1:49" x14ac:dyDescent="0.2">
      <c r="A79" s="195"/>
      <c r="B79" s="195"/>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D79" s="300"/>
      <c r="AE79" s="196"/>
      <c r="AF79" s="196"/>
      <c r="AG79" s="195"/>
      <c r="AH79" s="195"/>
      <c r="AI79" s="195"/>
      <c r="AJ79" s="195"/>
      <c r="AK79" s="195"/>
      <c r="AL79" s="195"/>
      <c r="AM79" s="195"/>
      <c r="AN79" s="195"/>
    </row>
    <row r="80" spans="1:49" x14ac:dyDescent="0.2">
      <c r="A80" s="195"/>
      <c r="B80" s="195"/>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D80" s="300"/>
      <c r="AE80" s="196"/>
      <c r="AF80" s="196"/>
      <c r="AG80" s="195"/>
      <c r="AH80" s="195"/>
      <c r="AI80" s="195"/>
      <c r="AJ80" s="195"/>
      <c r="AK80" s="195"/>
      <c r="AL80" s="195"/>
      <c r="AM80" s="195"/>
      <c r="AN80" s="195"/>
    </row>
    <row r="81" spans="1:40" x14ac:dyDescent="0.2">
      <c r="A81" s="195"/>
      <c r="B81" s="195"/>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D81" s="300"/>
      <c r="AE81" s="196"/>
      <c r="AF81" s="196"/>
      <c r="AG81" s="195"/>
      <c r="AH81" s="195"/>
      <c r="AI81" s="195"/>
      <c r="AJ81" s="195"/>
      <c r="AK81" s="195"/>
      <c r="AL81" s="195"/>
      <c r="AM81" s="195"/>
      <c r="AN81" s="195"/>
    </row>
    <row r="82" spans="1:40" x14ac:dyDescent="0.2">
      <c r="A82" s="195"/>
      <c r="B82" s="195"/>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D82" s="300"/>
      <c r="AE82" s="196"/>
      <c r="AF82" s="196"/>
      <c r="AG82" s="195"/>
      <c r="AH82" s="195"/>
      <c r="AI82" s="195"/>
      <c r="AJ82" s="195"/>
      <c r="AK82" s="195"/>
      <c r="AL82" s="195"/>
      <c r="AM82" s="195"/>
      <c r="AN82" s="195"/>
    </row>
    <row r="83" spans="1:40" x14ac:dyDescent="0.2">
      <c r="A83" s="195"/>
      <c r="B83" s="195"/>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D83" s="300"/>
      <c r="AE83" s="196"/>
      <c r="AF83" s="196"/>
      <c r="AG83" s="195"/>
      <c r="AH83" s="195"/>
      <c r="AI83" s="195"/>
      <c r="AJ83" s="195"/>
      <c r="AK83" s="195"/>
      <c r="AL83" s="195"/>
      <c r="AM83" s="195"/>
      <c r="AN83" s="195"/>
    </row>
    <row r="84" spans="1:40" x14ac:dyDescent="0.2">
      <c r="A84" s="195"/>
      <c r="B84" s="195"/>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D84" s="300"/>
      <c r="AE84" s="196"/>
      <c r="AF84" s="196"/>
      <c r="AG84" s="195"/>
      <c r="AH84" s="195"/>
      <c r="AI84" s="195"/>
      <c r="AJ84" s="195"/>
      <c r="AK84" s="195"/>
      <c r="AL84" s="195"/>
      <c r="AM84" s="195"/>
      <c r="AN84" s="195"/>
    </row>
    <row r="85" spans="1:40" x14ac:dyDescent="0.2">
      <c r="A85" s="195"/>
      <c r="B85" s="195"/>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D85" s="300"/>
      <c r="AE85" s="196"/>
      <c r="AF85" s="196"/>
      <c r="AG85" s="195"/>
      <c r="AH85" s="195"/>
      <c r="AI85" s="195"/>
      <c r="AJ85" s="195"/>
      <c r="AK85" s="195"/>
      <c r="AL85" s="195"/>
      <c r="AM85" s="195"/>
      <c r="AN85" s="195"/>
    </row>
    <row r="86" spans="1:40" x14ac:dyDescent="0.2">
      <c r="A86" s="195"/>
      <c r="B86" s="195"/>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c r="AD86" s="300"/>
      <c r="AE86" s="196"/>
      <c r="AF86" s="196"/>
      <c r="AG86" s="195"/>
      <c r="AH86" s="195"/>
      <c r="AI86" s="195"/>
      <c r="AJ86" s="195"/>
      <c r="AK86" s="195"/>
      <c r="AL86" s="195"/>
      <c r="AM86" s="195"/>
      <c r="AN86" s="195"/>
    </row>
    <row r="87" spans="1:40" x14ac:dyDescent="0.2">
      <c r="A87" s="195"/>
      <c r="B87" s="195"/>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D87" s="300"/>
      <c r="AE87" s="196"/>
      <c r="AF87" s="196"/>
      <c r="AG87" s="195"/>
      <c r="AH87" s="195"/>
      <c r="AI87" s="195"/>
      <c r="AJ87" s="195"/>
      <c r="AK87" s="195"/>
      <c r="AL87" s="195"/>
      <c r="AM87" s="195"/>
      <c r="AN87" s="195"/>
    </row>
    <row r="88" spans="1:40" x14ac:dyDescent="0.2">
      <c r="A88" s="195"/>
      <c r="B88" s="195"/>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D88" s="300"/>
      <c r="AE88" s="196"/>
      <c r="AF88" s="196"/>
      <c r="AG88" s="195"/>
      <c r="AH88" s="195"/>
      <c r="AI88" s="195"/>
      <c r="AJ88" s="195"/>
      <c r="AK88" s="195"/>
      <c r="AL88" s="195"/>
      <c r="AM88" s="195"/>
      <c r="AN88" s="195"/>
    </row>
    <row r="89" spans="1:40" x14ac:dyDescent="0.2">
      <c r="A89" s="195"/>
      <c r="B89" s="195"/>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D89" s="300"/>
      <c r="AE89" s="196"/>
      <c r="AF89" s="196"/>
      <c r="AG89" s="195"/>
      <c r="AH89" s="195"/>
      <c r="AI89" s="195"/>
      <c r="AJ89" s="195"/>
      <c r="AK89" s="195"/>
      <c r="AL89" s="195"/>
      <c r="AM89" s="195"/>
      <c r="AN89" s="195"/>
    </row>
    <row r="90" spans="1:40" x14ac:dyDescent="0.2">
      <c r="A90" s="195"/>
      <c r="B90" s="195"/>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D90" s="300"/>
      <c r="AE90" s="196"/>
      <c r="AF90" s="196"/>
      <c r="AG90" s="195"/>
      <c r="AH90" s="195"/>
      <c r="AI90" s="195"/>
      <c r="AJ90" s="195"/>
      <c r="AK90" s="195"/>
      <c r="AL90" s="195"/>
      <c r="AM90" s="195"/>
      <c r="AN90" s="195"/>
    </row>
    <row r="91" spans="1:40" x14ac:dyDescent="0.2">
      <c r="A91" s="195"/>
      <c r="B91" s="195"/>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D91" s="300"/>
      <c r="AE91" s="196"/>
      <c r="AF91" s="196"/>
      <c r="AG91" s="195"/>
      <c r="AH91" s="195"/>
      <c r="AI91" s="195"/>
      <c r="AJ91" s="195"/>
      <c r="AK91" s="195"/>
      <c r="AL91" s="195"/>
      <c r="AM91" s="195"/>
      <c r="AN91" s="195"/>
    </row>
    <row r="92" spans="1:40" x14ac:dyDescent="0.2">
      <c r="A92" s="195"/>
      <c r="B92" s="195"/>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D92" s="300"/>
      <c r="AE92" s="196"/>
      <c r="AF92" s="196"/>
      <c r="AG92" s="195"/>
      <c r="AH92" s="195"/>
      <c r="AI92" s="195"/>
      <c r="AJ92" s="195"/>
      <c r="AK92" s="195"/>
      <c r="AL92" s="195"/>
      <c r="AM92" s="195"/>
      <c r="AN92" s="195"/>
    </row>
    <row r="93" spans="1:40" x14ac:dyDescent="0.2">
      <c r="A93" s="195"/>
      <c r="B93" s="195"/>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D93" s="300"/>
      <c r="AE93" s="196"/>
      <c r="AF93" s="196"/>
      <c r="AG93" s="195"/>
      <c r="AH93" s="195"/>
      <c r="AI93" s="195"/>
      <c r="AJ93" s="195"/>
      <c r="AK93" s="195"/>
      <c r="AL93" s="195"/>
      <c r="AM93" s="195"/>
      <c r="AN93" s="195"/>
    </row>
    <row r="94" spans="1:40" x14ac:dyDescent="0.2">
      <c r="A94" s="195"/>
      <c r="B94" s="195"/>
      <c r="C94" s="196"/>
      <c r="D94" s="196"/>
      <c r="E94" s="196"/>
      <c r="F94" s="196"/>
      <c r="G94" s="196"/>
      <c r="H94" s="196"/>
      <c r="I94" s="196"/>
      <c r="J94" s="196"/>
      <c r="K94" s="196"/>
      <c r="L94" s="196"/>
      <c r="M94" s="196"/>
      <c r="N94" s="196"/>
      <c r="O94" s="196"/>
      <c r="P94" s="196"/>
      <c r="Q94" s="196"/>
      <c r="R94" s="196"/>
      <c r="S94" s="196"/>
      <c r="T94" s="196"/>
      <c r="U94" s="196"/>
      <c r="V94" s="196"/>
      <c r="W94" s="196"/>
      <c r="X94" s="196"/>
      <c r="Y94" s="196"/>
      <c r="Z94" s="196"/>
      <c r="AD94" s="300"/>
      <c r="AE94" s="196"/>
      <c r="AF94" s="196"/>
      <c r="AG94" s="195"/>
      <c r="AH94" s="195"/>
      <c r="AI94" s="195"/>
      <c r="AJ94" s="195"/>
      <c r="AK94" s="195"/>
      <c r="AL94" s="195"/>
      <c r="AM94" s="195"/>
      <c r="AN94" s="195"/>
    </row>
    <row r="95" spans="1:40" x14ac:dyDescent="0.2">
      <c r="A95" s="195"/>
      <c r="B95" s="195"/>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D95" s="300"/>
      <c r="AE95" s="196"/>
      <c r="AF95" s="196"/>
      <c r="AG95" s="195"/>
      <c r="AH95" s="195"/>
      <c r="AI95" s="195"/>
      <c r="AJ95" s="195"/>
      <c r="AK95" s="195"/>
      <c r="AL95" s="195"/>
      <c r="AM95" s="195"/>
      <c r="AN95" s="195"/>
    </row>
    <row r="96" spans="1:40" x14ac:dyDescent="0.2">
      <c r="A96" s="195"/>
      <c r="B96" s="195"/>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D96" s="300"/>
      <c r="AE96" s="196"/>
      <c r="AF96" s="196"/>
      <c r="AG96" s="195"/>
      <c r="AH96" s="195"/>
      <c r="AI96" s="195"/>
      <c r="AJ96" s="195"/>
      <c r="AK96" s="195"/>
      <c r="AL96" s="195"/>
      <c r="AM96" s="195"/>
      <c r="AN96" s="195"/>
    </row>
    <row r="97" spans="1:40" x14ac:dyDescent="0.2">
      <c r="A97" s="195"/>
      <c r="B97" s="195"/>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D97" s="300"/>
      <c r="AE97" s="196"/>
      <c r="AF97" s="196"/>
      <c r="AG97" s="195"/>
      <c r="AH97" s="195"/>
      <c r="AI97" s="195"/>
      <c r="AJ97" s="195"/>
      <c r="AK97" s="195"/>
      <c r="AL97" s="195"/>
      <c r="AM97" s="195"/>
      <c r="AN97" s="195"/>
    </row>
    <row r="98" spans="1:40" x14ac:dyDescent="0.2">
      <c r="A98" s="195"/>
      <c r="B98" s="195"/>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D98" s="300"/>
      <c r="AE98" s="196"/>
      <c r="AF98" s="196"/>
      <c r="AG98" s="195"/>
      <c r="AH98" s="195"/>
      <c r="AI98" s="195"/>
      <c r="AJ98" s="195"/>
      <c r="AK98" s="195"/>
      <c r="AL98" s="195"/>
      <c r="AM98" s="195"/>
      <c r="AN98" s="195"/>
    </row>
    <row r="99" spans="1:40" x14ac:dyDescent="0.2">
      <c r="A99" s="195"/>
      <c r="B99" s="195"/>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D99" s="300"/>
      <c r="AE99" s="196"/>
      <c r="AF99" s="196"/>
      <c r="AG99" s="195"/>
      <c r="AH99" s="195"/>
      <c r="AI99" s="195"/>
      <c r="AJ99" s="195"/>
      <c r="AK99" s="195"/>
      <c r="AL99" s="195"/>
      <c r="AM99" s="195"/>
      <c r="AN99" s="195"/>
    </row>
    <row r="100" spans="1:40" x14ac:dyDescent="0.2">
      <c r="A100" s="195"/>
      <c r="B100" s="195"/>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D100" s="300"/>
      <c r="AE100" s="196"/>
      <c r="AF100" s="196"/>
      <c r="AG100" s="195"/>
      <c r="AH100" s="195"/>
      <c r="AI100" s="195"/>
      <c r="AJ100" s="195"/>
      <c r="AK100" s="195"/>
      <c r="AL100" s="195"/>
      <c r="AM100" s="195"/>
      <c r="AN100" s="195"/>
    </row>
    <row r="101" spans="1:40" x14ac:dyDescent="0.2">
      <c r="A101" s="195"/>
      <c r="B101" s="195"/>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D101" s="300"/>
      <c r="AE101" s="196"/>
      <c r="AF101" s="196"/>
      <c r="AG101" s="195"/>
      <c r="AH101" s="195"/>
      <c r="AI101" s="195"/>
      <c r="AJ101" s="195"/>
      <c r="AK101" s="195"/>
      <c r="AL101" s="195"/>
      <c r="AM101" s="195"/>
      <c r="AN101" s="195"/>
    </row>
    <row r="102" spans="1:40" x14ac:dyDescent="0.2">
      <c r="A102" s="195"/>
      <c r="B102" s="195"/>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c r="AD102" s="300"/>
      <c r="AE102" s="196"/>
      <c r="AF102" s="196"/>
      <c r="AG102" s="195"/>
      <c r="AH102" s="195"/>
      <c r="AI102" s="195"/>
      <c r="AJ102" s="195"/>
      <c r="AK102" s="195"/>
      <c r="AL102" s="195"/>
      <c r="AM102" s="195"/>
      <c r="AN102" s="195"/>
    </row>
    <row r="103" spans="1:40" x14ac:dyDescent="0.2">
      <c r="A103" s="195"/>
      <c r="B103" s="195"/>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D103" s="300"/>
      <c r="AE103" s="196"/>
      <c r="AF103" s="196"/>
      <c r="AG103" s="195"/>
      <c r="AH103" s="195"/>
      <c r="AI103" s="195"/>
      <c r="AJ103" s="195"/>
      <c r="AK103" s="195"/>
      <c r="AL103" s="195"/>
      <c r="AM103" s="195"/>
      <c r="AN103" s="195"/>
    </row>
    <row r="104" spans="1:40" x14ac:dyDescent="0.2">
      <c r="A104" s="195"/>
      <c r="B104" s="195"/>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D104" s="300"/>
      <c r="AE104" s="196"/>
      <c r="AF104" s="196"/>
      <c r="AG104" s="195"/>
      <c r="AH104" s="195"/>
      <c r="AI104" s="195"/>
      <c r="AJ104" s="195"/>
      <c r="AK104" s="195"/>
      <c r="AL104" s="195"/>
      <c r="AM104" s="195"/>
      <c r="AN104" s="195"/>
    </row>
    <row r="105" spans="1:40" x14ac:dyDescent="0.2">
      <c r="A105" s="195"/>
      <c r="B105" s="195"/>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D105" s="300"/>
      <c r="AE105" s="196"/>
      <c r="AF105" s="196"/>
      <c r="AG105" s="195"/>
      <c r="AH105" s="195"/>
      <c r="AI105" s="195"/>
      <c r="AJ105" s="195"/>
      <c r="AK105" s="195"/>
      <c r="AL105" s="195"/>
      <c r="AM105" s="195"/>
      <c r="AN105" s="195"/>
    </row>
    <row r="106" spans="1:40" x14ac:dyDescent="0.2">
      <c r="A106" s="195"/>
      <c r="B106" s="195"/>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D106" s="300"/>
      <c r="AE106" s="196"/>
      <c r="AF106" s="196"/>
      <c r="AG106" s="195"/>
      <c r="AH106" s="195"/>
      <c r="AI106" s="195"/>
      <c r="AJ106" s="195"/>
      <c r="AK106" s="195"/>
      <c r="AL106" s="195"/>
      <c r="AM106" s="195"/>
      <c r="AN106" s="195"/>
    </row>
    <row r="107" spans="1:40" x14ac:dyDescent="0.2">
      <c r="A107" s="195"/>
      <c r="B107" s="195"/>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D107" s="300"/>
      <c r="AE107" s="196"/>
      <c r="AF107" s="196"/>
      <c r="AG107" s="195"/>
      <c r="AH107" s="195"/>
      <c r="AI107" s="195"/>
      <c r="AJ107" s="195"/>
      <c r="AK107" s="195"/>
      <c r="AL107" s="195"/>
      <c r="AM107" s="195"/>
      <c r="AN107" s="195"/>
    </row>
    <row r="108" spans="1:40" x14ac:dyDescent="0.2">
      <c r="A108" s="195"/>
      <c r="B108" s="195"/>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D108" s="300"/>
      <c r="AE108" s="196"/>
      <c r="AF108" s="196"/>
      <c r="AG108" s="195"/>
      <c r="AH108" s="195"/>
      <c r="AI108" s="195"/>
      <c r="AJ108" s="195"/>
      <c r="AK108" s="195"/>
      <c r="AL108" s="195"/>
      <c r="AM108" s="195"/>
      <c r="AN108" s="195"/>
    </row>
    <row r="109" spans="1:40" x14ac:dyDescent="0.2">
      <c r="A109" s="195"/>
      <c r="B109" s="195"/>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D109" s="300"/>
      <c r="AE109" s="196"/>
      <c r="AF109" s="196"/>
      <c r="AG109" s="195"/>
      <c r="AH109" s="195"/>
      <c r="AI109" s="195"/>
      <c r="AJ109" s="195"/>
      <c r="AK109" s="195"/>
      <c r="AL109" s="195"/>
      <c r="AM109" s="195"/>
      <c r="AN109" s="195"/>
    </row>
    <row r="110" spans="1:40" x14ac:dyDescent="0.2">
      <c r="A110" s="195"/>
      <c r="B110" s="195"/>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D110" s="300"/>
      <c r="AE110" s="196"/>
      <c r="AF110" s="196"/>
      <c r="AG110" s="195"/>
      <c r="AH110" s="195"/>
      <c r="AI110" s="195"/>
      <c r="AJ110" s="195"/>
      <c r="AK110" s="195"/>
      <c r="AL110" s="195"/>
      <c r="AM110" s="195"/>
      <c r="AN110" s="195"/>
    </row>
    <row r="111" spans="1:40" x14ac:dyDescent="0.2">
      <c r="A111" s="195"/>
      <c r="B111" s="195"/>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D111" s="300"/>
      <c r="AE111" s="196"/>
      <c r="AF111" s="196"/>
      <c r="AG111" s="195"/>
      <c r="AH111" s="195"/>
      <c r="AI111" s="195"/>
      <c r="AJ111" s="195"/>
      <c r="AK111" s="195"/>
      <c r="AL111" s="195"/>
      <c r="AM111" s="195"/>
      <c r="AN111" s="195"/>
    </row>
    <row r="112" spans="1:40" x14ac:dyDescent="0.2">
      <c r="A112" s="195"/>
      <c r="B112" s="195"/>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D112" s="300"/>
      <c r="AE112" s="196"/>
      <c r="AF112" s="196"/>
      <c r="AG112" s="195"/>
      <c r="AH112" s="195"/>
      <c r="AI112" s="195"/>
      <c r="AJ112" s="195"/>
      <c r="AK112" s="195"/>
      <c r="AL112" s="195"/>
      <c r="AM112" s="195"/>
      <c r="AN112" s="195"/>
    </row>
    <row r="113" spans="1:40" x14ac:dyDescent="0.2">
      <c r="A113" s="195"/>
      <c r="B113" s="195"/>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D113" s="300"/>
      <c r="AE113" s="196"/>
      <c r="AF113" s="196"/>
      <c r="AG113" s="195"/>
      <c r="AH113" s="195"/>
      <c r="AI113" s="195"/>
      <c r="AJ113" s="195"/>
      <c r="AK113" s="195"/>
      <c r="AL113" s="195"/>
      <c r="AM113" s="195"/>
      <c r="AN113" s="195"/>
    </row>
  </sheetData>
  <customSheetViews>
    <customSheetView guid="{238A3432-2201-4481-B06C-00480E9813A7}" showRuler="0" topLeftCell="A18">
      <selection activeCell="E52" sqref="E52:F52"/>
      <pageMargins left="0.7" right="0.7" top="0.75" bottom="0.75" header="0.3" footer="0.3"/>
      <pageSetup orientation="portrait" horizontalDpi="300" verticalDpi="300"/>
      <headerFooter alignWithMargins="0"/>
    </customSheetView>
  </customSheetViews>
  <mergeCells count="7">
    <mergeCell ref="A1:N1"/>
    <mergeCell ref="AL25:AM25"/>
    <mergeCell ref="AF26:AG26"/>
    <mergeCell ref="AE25:AG25"/>
    <mergeCell ref="AH25:AI25"/>
    <mergeCell ref="AJ25:AK25"/>
    <mergeCell ref="AD5:AK5"/>
  </mergeCells>
  <phoneticPr fontId="0" type="noConversion"/>
  <conditionalFormatting sqref="C41 F41 U41 I41 L41 O41 R41 X41">
    <cfRule type="expression" priority="7" stopIfTrue="1">
      <formula>SUM(C28:C41)=0</formula>
    </cfRule>
    <cfRule type="cellIs" dxfId="52" priority="8" stopIfTrue="1" operator="lessThan">
      <formula>$AQ$13</formula>
    </cfRule>
    <cfRule type="cellIs" dxfId="51" priority="9" stopIfTrue="1" operator="greaterThanOrEqual">
      <formula>$AQ$13</formula>
    </cfRule>
  </conditionalFormatting>
  <conditionalFormatting sqref="AA44">
    <cfRule type="cellIs" dxfId="50" priority="3" stopIfTrue="1" operator="equal">
      <formula>$H$42</formula>
    </cfRule>
  </conditionalFormatting>
  <conditionalFormatting sqref="AA44">
    <cfRule type="cellIs" dxfId="49" priority="4" stopIfTrue="1" operator="notEqual">
      <formula>$H$42</formula>
    </cfRule>
  </conditionalFormatting>
  <conditionalFormatting sqref="K44 H44 N44 Q44 T44 W44 Z44">
    <cfRule type="cellIs" dxfId="48" priority="1" stopIfTrue="1" operator="equal">
      <formula>$H$42</formula>
    </cfRule>
    <cfRule type="cellIs" dxfId="47" priority="2" stopIfTrue="1" operator="notEqual">
      <formula>$H$42</formula>
    </cfRule>
  </conditionalFormatting>
  <conditionalFormatting sqref="E46 H46 K46 N46 Q46 T46 W46 Z46">
    <cfRule type="cellIs" priority="12" stopIfTrue="1" operator="equal">
      <formula>0</formula>
    </cfRule>
    <cfRule type="cellIs" dxfId="46" priority="13" stopIfTrue="1" operator="lessThan">
      <formula>$AQ$10</formula>
    </cfRule>
    <cfRule type="cellIs" dxfId="45" priority="14" stopIfTrue="1" operator="greaterThanOrEqual">
      <formula>$AQ$10</formula>
    </cfRule>
  </conditionalFormatting>
  <conditionalFormatting sqref="C57 F57 I57 L57 O57 R57 U57 X57">
    <cfRule type="cellIs" priority="15" stopIfTrue="1" operator="equal">
      <formula>0</formula>
    </cfRule>
    <cfRule type="cellIs" dxfId="44" priority="16" stopIfTrue="1" operator="lessThan">
      <formula>$AQ$7</formula>
    </cfRule>
    <cfRule type="cellIs" dxfId="43" priority="17" stopIfTrue="1" operator="greaterThanOrEqual">
      <formula>$AQ$7</formula>
    </cfRule>
  </conditionalFormatting>
  <conditionalFormatting sqref="C13 F13 U13 I13 L13 O13 R13 X13">
    <cfRule type="expression" priority="18" stopIfTrue="1">
      <formula>$C$7=0</formula>
    </cfRule>
    <cfRule type="cellIs" dxfId="42" priority="19" stopIfTrue="1" operator="lessThan">
      <formula>$AQ$14</formula>
    </cfRule>
    <cfRule type="cellIs" dxfId="41" priority="20" stopIfTrue="1" operator="greaterThanOrEqual">
      <formula>$AQ$14</formula>
    </cfRule>
  </conditionalFormatting>
  <dataValidations count="2">
    <dataValidation type="decimal" operator="lessThanOrEqual" allowBlank="1" showInputMessage="1" showErrorMessage="1" errorTitle="ERROR" error="This number must be GREATER THAN or EQUAL to ZERO." promptTitle="TIP" prompt="Enter a NEGATIVE number here." sqref="C21:C22" xr:uid="{00000000-0002-0000-0200-000000000000}">
      <formula1>0</formula1>
    </dataValidation>
    <dataValidation allowBlank="1" showInputMessage="1" showErrorMessage="1" promptTitle="TIP" prompt="Do NOT edit this number. Edit the $ amount to the left instead." sqref="E21:E22" xr:uid="{00000000-0002-0000-0200-000001000000}"/>
  </dataValidations>
  <pageMargins left="0.75" right="0.75" top="1" bottom="1" header="0.5" footer="0.5"/>
  <pageSetup orientation="portrait" horizontalDpi="300" verticalDpi="300"/>
  <headerFooter alignWithMargins="0"/>
  <ignoredErrors>
    <ignoredError sqref="I46 F46 E42:F42 H44:I44 L44 L46 H42 K42 O9" formula="1"/>
  </ignoredErrors>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outlinePr summaryBelow="0" summaryRight="0"/>
  </sheetPr>
  <dimension ref="A1:AN103"/>
  <sheetViews>
    <sheetView workbookViewId="0">
      <selection activeCell="D42" sqref="D42"/>
    </sheetView>
  </sheetViews>
  <sheetFormatPr defaultColWidth="8.85546875" defaultRowHeight="11.25" x14ac:dyDescent="0.2"/>
  <cols>
    <col min="1" max="1" width="7.28515625" style="194" customWidth="1"/>
    <col min="2" max="2" width="1.42578125" style="99" customWidth="1"/>
    <col min="3" max="3" width="32" style="99" customWidth="1"/>
    <col min="4" max="4" width="10.85546875" style="100" customWidth="1"/>
    <col min="5" max="5" width="5.7109375" style="99" customWidth="1"/>
    <col min="6" max="6" width="1.28515625" style="124" customWidth="1"/>
    <col min="7" max="7" width="1.7109375" style="194" customWidth="1"/>
    <col min="8" max="8" width="3.85546875" style="194" customWidth="1"/>
    <col min="9" max="9" width="10" style="194" customWidth="1"/>
    <col min="10" max="10" width="13.42578125" style="194" bestFit="1" customWidth="1"/>
    <col min="11" max="11" width="11.7109375" style="194" bestFit="1" customWidth="1"/>
    <col min="12" max="12" width="8.85546875" style="194"/>
    <col min="13" max="13" width="9.140625" style="194" hidden="1" customWidth="1"/>
    <col min="14" max="14" width="8.85546875" style="194"/>
    <col min="15" max="15" width="11.28515625" style="194" bestFit="1" customWidth="1"/>
    <col min="16" max="18" width="8.85546875" style="194"/>
    <col min="19" max="19" width="11.42578125" style="194" bestFit="1" customWidth="1"/>
    <col min="20" max="20" width="16.42578125" style="194" bestFit="1" customWidth="1"/>
    <col min="21" max="21" width="30.85546875" style="99" customWidth="1"/>
    <col min="22" max="22" width="8.85546875" style="99"/>
    <col min="23" max="23" width="27.85546875" style="99" customWidth="1"/>
    <col min="24" max="16384" width="8.85546875" style="99"/>
  </cols>
  <sheetData>
    <row r="1" spans="1:40" s="222" customFormat="1" ht="15.75" x14ac:dyDescent="0.2">
      <c r="A1" s="972" t="s">
        <v>141</v>
      </c>
      <c r="B1" s="973"/>
      <c r="C1" s="973"/>
      <c r="D1" s="973"/>
      <c r="E1" s="973"/>
      <c r="F1" s="973"/>
      <c r="G1" s="973"/>
      <c r="H1" s="973"/>
      <c r="I1" s="973"/>
      <c r="J1" s="983"/>
      <c r="K1" s="983"/>
      <c r="L1" s="983"/>
      <c r="M1" s="983"/>
      <c r="N1" s="983"/>
      <c r="O1" s="983"/>
      <c r="P1" s="983"/>
      <c r="Q1" s="226"/>
      <c r="R1" s="226"/>
      <c r="S1" s="226"/>
      <c r="T1" s="226"/>
      <c r="U1" s="226"/>
      <c r="V1" s="226"/>
      <c r="W1" s="226"/>
      <c r="X1" s="226"/>
      <c r="Y1" s="226"/>
      <c r="Z1" s="226"/>
      <c r="AA1" s="226"/>
      <c r="AB1" s="226"/>
      <c r="AC1" s="226"/>
      <c r="AD1" s="226"/>
      <c r="AE1" s="226"/>
      <c r="AF1" s="226"/>
      <c r="AG1" s="226"/>
      <c r="AH1" s="226"/>
      <c r="AI1" s="226"/>
      <c r="AJ1" s="226"/>
      <c r="AK1" s="226"/>
      <c r="AL1" s="226"/>
      <c r="AM1" s="226"/>
      <c r="AN1" s="226"/>
    </row>
    <row r="2" spans="1:40" s="226" customFormat="1" ht="6.75" customHeight="1" x14ac:dyDescent="0.2">
      <c r="A2" s="223"/>
      <c r="B2" s="224"/>
      <c r="C2" s="224"/>
      <c r="D2" s="224"/>
      <c r="E2" s="224"/>
      <c r="F2" s="224"/>
      <c r="G2" s="224"/>
      <c r="H2" s="224"/>
      <c r="I2" s="224"/>
      <c r="J2" s="225"/>
      <c r="K2" s="225"/>
      <c r="L2" s="225"/>
      <c r="M2" s="225"/>
    </row>
    <row r="3" spans="1:40" s="226" customFormat="1" ht="15" customHeight="1" x14ac:dyDescent="0.2">
      <c r="A3" s="474"/>
      <c r="B3" s="224"/>
      <c r="C3" s="356" t="s">
        <v>214</v>
      </c>
      <c r="D3" s="450">
        <v>4</v>
      </c>
      <c r="E3" s="447"/>
      <c r="F3" s="224"/>
      <c r="G3" s="224"/>
      <c r="H3" s="449" t="s">
        <v>236</v>
      </c>
      <c r="I3" s="446"/>
      <c r="J3" s="225"/>
      <c r="K3" s="225"/>
      <c r="L3" s="225"/>
      <c r="M3" s="225"/>
    </row>
    <row r="4" spans="1:40" ht="8.25" customHeight="1" thickBot="1" x14ac:dyDescent="0.25">
      <c r="A4" s="475"/>
      <c r="B4" s="125"/>
      <c r="C4" s="126"/>
      <c r="D4" s="127"/>
      <c r="E4" s="126"/>
      <c r="F4" s="128"/>
      <c r="G4" s="199"/>
      <c r="H4" s="448" t="str">
        <f>Scenarios!C3</f>
        <v>1. May17 T12 (Pine) + Jun17 T12 (Graham)</v>
      </c>
      <c r="J4" s="475"/>
      <c r="K4" s="475"/>
      <c r="L4" s="475"/>
      <c r="M4" s="489"/>
      <c r="N4" s="475"/>
      <c r="O4" s="475"/>
      <c r="P4" s="475"/>
      <c r="Q4" s="475"/>
      <c r="R4" s="475"/>
      <c r="S4" s="475"/>
      <c r="T4" s="475"/>
      <c r="U4" s="477"/>
      <c r="V4" s="477"/>
      <c r="W4" s="477"/>
    </row>
    <row r="5" spans="1:40" x14ac:dyDescent="0.2">
      <c r="A5" s="475"/>
      <c r="B5" s="129"/>
      <c r="C5" s="101" t="s">
        <v>88</v>
      </c>
      <c r="D5" s="102"/>
      <c r="E5" s="103"/>
      <c r="F5" s="130"/>
      <c r="G5" s="199"/>
      <c r="H5" s="448" t="str">
        <f>Scenarios!F3</f>
        <v>2. My Version</v>
      </c>
      <c r="J5" s="464"/>
      <c r="K5" s="464"/>
      <c r="L5" s="464"/>
      <c r="M5" s="490" t="s">
        <v>218</v>
      </c>
      <c r="N5" s="464"/>
      <c r="O5" s="924"/>
      <c r="P5" s="475"/>
      <c r="Q5" s="475"/>
      <c r="R5" s="475"/>
      <c r="S5" s="475"/>
      <c r="T5" s="475"/>
      <c r="U5" s="477"/>
      <c r="V5" s="477"/>
      <c r="W5" s="477"/>
    </row>
    <row r="6" spans="1:40" x14ac:dyDescent="0.2">
      <c r="A6" s="475"/>
      <c r="B6" s="129"/>
      <c r="C6" s="104" t="s">
        <v>23</v>
      </c>
      <c r="D6" s="105">
        <f>CHOOSE($D$3,Scenarios!C8,Scenarios!F8,Scenarios!I8,Scenarios!L8,Scenarios!O8,Scenarios!R8,Scenarios!U8,Scenarios!X8)</f>
        <v>492</v>
      </c>
      <c r="E6" s="106"/>
      <c r="F6" s="130"/>
      <c r="G6" s="199"/>
      <c r="H6" s="448" t="str">
        <f>Scenarios!I3</f>
        <v>3. Projected</v>
      </c>
      <c r="J6" s="464"/>
      <c r="K6" s="464"/>
      <c r="L6" s="464"/>
      <c r="M6" s="491" t="s">
        <v>219</v>
      </c>
      <c r="N6" s="464"/>
      <c r="O6" s="475"/>
      <c r="P6" s="475"/>
      <c r="Q6" s="475"/>
      <c r="R6" s="475"/>
      <c r="S6" s="475"/>
      <c r="T6" s="738"/>
      <c r="U6" s="740" t="str">
        <f>About!B3</f>
        <v>Key Metric</v>
      </c>
      <c r="V6" s="747" t="str">
        <f>About!C3</f>
        <v>Minimum Criteria</v>
      </c>
      <c r="W6" s="739"/>
    </row>
    <row r="7" spans="1:40" x14ac:dyDescent="0.2">
      <c r="A7" s="475"/>
      <c r="B7" s="129"/>
      <c r="C7" s="104" t="s">
        <v>96</v>
      </c>
      <c r="D7" s="107">
        <f>CHOOSE($D$3,Scenarios!C6,Scenarios!F6,Scenarios!I6,Scenarios!L6,Scenarios!O6,Scenarios!R6,Scenarios!U6,Scenarios!X6)</f>
        <v>15000000</v>
      </c>
      <c r="E7" s="106"/>
      <c r="F7" s="130"/>
      <c r="G7" s="199"/>
      <c r="H7" s="448" t="str">
        <f>Scenarios!L3</f>
        <v>4. Offer</v>
      </c>
      <c r="J7" s="984" t="s">
        <v>407</v>
      </c>
      <c r="K7" s="984"/>
      <c r="L7" s="464"/>
      <c r="M7" s="476">
        <v>1</v>
      </c>
      <c r="N7" s="464"/>
      <c r="O7" s="475"/>
      <c r="P7" s="475"/>
      <c r="Q7" s="475"/>
      <c r="R7" s="475"/>
      <c r="S7" s="475"/>
      <c r="T7" s="738"/>
      <c r="U7" s="297" t="str">
        <f>About!B4</f>
        <v>Debt Coverage Ratio (DCR)</v>
      </c>
      <c r="V7" s="741">
        <f>About!C4</f>
        <v>1.25</v>
      </c>
      <c r="W7" s="109"/>
    </row>
    <row r="8" spans="1:40" ht="12.75" customHeight="1" x14ac:dyDescent="0.2">
      <c r="A8" s="475"/>
      <c r="B8" s="129"/>
      <c r="C8" s="104" t="s">
        <v>12</v>
      </c>
      <c r="D8" s="107">
        <v>15300000</v>
      </c>
      <c r="E8" s="106"/>
      <c r="F8" s="130"/>
      <c r="G8" s="472"/>
      <c r="H8" s="723"/>
      <c r="I8" s="464"/>
      <c r="J8" s="888" t="s">
        <v>386</v>
      </c>
      <c r="K8" s="885">
        <v>15500000</v>
      </c>
      <c r="L8" s="464"/>
      <c r="M8" s="476">
        <f>M7+1</f>
        <v>2</v>
      </c>
      <c r="N8" s="464"/>
      <c r="O8" s="475"/>
      <c r="P8" s="475"/>
      <c r="Q8" s="475"/>
      <c r="R8" s="475"/>
      <c r="S8" s="475"/>
      <c r="T8" s="738"/>
      <c r="U8" s="297" t="str">
        <f>About!B5</f>
        <v>Average Annual Return (AAR)</v>
      </c>
      <c r="V8" s="36">
        <f>About!C5</f>
        <v>0.15</v>
      </c>
      <c r="W8" s="109"/>
    </row>
    <row r="9" spans="1:40" ht="12.75" customHeight="1" x14ac:dyDescent="0.2">
      <c r="A9" s="475"/>
      <c r="B9" s="129"/>
      <c r="C9" s="108" t="s">
        <v>36</v>
      </c>
      <c r="D9" s="109">
        <f>IF(D6=0,0,D8/D6)</f>
        <v>31097.560975609755</v>
      </c>
      <c r="E9" s="106"/>
      <c r="F9" s="130"/>
      <c r="G9" s="472"/>
      <c r="H9" s="723"/>
      <c r="I9" s="464"/>
      <c r="J9" s="888" t="s">
        <v>387</v>
      </c>
      <c r="K9" s="885">
        <f>D20</f>
        <v>984000</v>
      </c>
      <c r="L9" s="464"/>
      <c r="M9" s="476">
        <f t="shared" ref="M9:M14" si="0">M8+1</f>
        <v>3</v>
      </c>
      <c r="N9" s="464"/>
      <c r="O9" s="475"/>
      <c r="P9" s="475"/>
      <c r="Q9" s="475"/>
      <c r="R9" s="475"/>
      <c r="S9" s="475"/>
      <c r="T9" s="738"/>
      <c r="U9" s="297" t="str">
        <f>About!B6</f>
        <v>Internal Rate of Return (IRR)</v>
      </c>
      <c r="V9" s="36">
        <f>About!C6</f>
        <v>0.13</v>
      </c>
      <c r="W9" s="109"/>
    </row>
    <row r="10" spans="1:40" ht="12.75" customHeight="1" x14ac:dyDescent="0.2">
      <c r="A10" s="475"/>
      <c r="B10" s="129"/>
      <c r="C10" s="104" t="s">
        <v>183</v>
      </c>
      <c r="D10" s="109">
        <f>D8*E10</f>
        <v>153000</v>
      </c>
      <c r="E10" s="889">
        <v>0.01</v>
      </c>
      <c r="F10" s="130"/>
      <c r="G10" s="472"/>
      <c r="H10" s="723"/>
      <c r="I10" s="464"/>
      <c r="J10" s="888" t="s">
        <v>89</v>
      </c>
      <c r="K10" s="885">
        <f>D18</f>
        <v>472054.94</v>
      </c>
      <c r="L10" s="464"/>
      <c r="M10" s="476">
        <f t="shared" si="0"/>
        <v>4</v>
      </c>
      <c r="N10" s="464"/>
      <c r="O10" s="475"/>
      <c r="P10" s="475"/>
      <c r="Q10" s="475"/>
      <c r="R10" s="475"/>
      <c r="S10" s="475"/>
      <c r="T10" s="738"/>
      <c r="U10" s="297" t="str">
        <f>About!B7</f>
        <v>Expenses</v>
      </c>
      <c r="V10" s="36">
        <f>About!C7</f>
        <v>0.5</v>
      </c>
      <c r="W10" s="109"/>
    </row>
    <row r="11" spans="1:40" x14ac:dyDescent="0.2">
      <c r="A11" s="475"/>
      <c r="B11" s="129"/>
      <c r="C11" s="104" t="s">
        <v>16</v>
      </c>
      <c r="D11" s="109">
        <f>D8*E11</f>
        <v>3060000</v>
      </c>
      <c r="E11" s="110">
        <f>CHOOSE($D$3,Scenarios!C10,Scenarios!F10,Scenarios!I10,Scenarios!L10,Scenarios!O10,Scenarios!R10,Scenarios!U10,Scenarios!X10)</f>
        <v>0.2</v>
      </c>
      <c r="F11" s="131"/>
      <c r="G11" s="478"/>
      <c r="H11" s="723"/>
      <c r="I11" s="464"/>
      <c r="J11" s="888" t="s">
        <v>388</v>
      </c>
      <c r="K11" s="886">
        <f>SUM(K8:K10)</f>
        <v>16956054.940000001</v>
      </c>
      <c r="L11" s="464"/>
      <c r="M11" s="476">
        <f t="shared" si="0"/>
        <v>5</v>
      </c>
      <c r="N11" s="464"/>
      <c r="O11" s="475"/>
      <c r="P11" s="475"/>
      <c r="Q11" s="475"/>
      <c r="R11" s="475"/>
      <c r="S11" s="475"/>
      <c r="T11" s="738"/>
      <c r="U11" s="297" t="str">
        <f>About!B8</f>
        <v>% of Capital Returned With Refinance</v>
      </c>
      <c r="V11" s="36">
        <f>About!C8</f>
        <v>0.6</v>
      </c>
      <c r="W11" s="109"/>
    </row>
    <row r="12" spans="1:40" x14ac:dyDescent="0.2">
      <c r="A12" s="475"/>
      <c r="B12" s="129"/>
      <c r="C12" s="104" t="s">
        <v>124</v>
      </c>
      <c r="D12" s="109">
        <v>13518397</v>
      </c>
      <c r="E12" s="110"/>
      <c r="F12" s="131"/>
      <c r="G12" s="478"/>
      <c r="H12" s="723"/>
      <c r="I12" s="464"/>
      <c r="J12" s="888" t="s">
        <v>389</v>
      </c>
      <c r="K12" s="887">
        <v>0.8</v>
      </c>
      <c r="L12" s="464"/>
      <c r="M12" s="476">
        <f t="shared" si="0"/>
        <v>6</v>
      </c>
      <c r="N12" s="464"/>
      <c r="O12" s="475"/>
      <c r="P12" s="475"/>
      <c r="Q12" s="475"/>
      <c r="R12" s="475"/>
      <c r="S12" s="475"/>
      <c r="T12" s="475"/>
      <c r="U12" s="297" t="str">
        <f>About!B9</f>
        <v>Average Cash on Cash (COC) Return</v>
      </c>
      <c r="V12" s="36">
        <f>About!C9</f>
        <v>0.09</v>
      </c>
      <c r="W12" s="477"/>
    </row>
    <row r="13" spans="1:40" x14ac:dyDescent="0.2">
      <c r="A13" s="475"/>
      <c r="B13" s="129"/>
      <c r="C13" s="104" t="s">
        <v>13</v>
      </c>
      <c r="D13" s="111">
        <f>CHOOSE($D$3,Scenarios!C52,Scenarios!F52,Scenarios!I52,Scenarios!L52,Scenarios!O52,Scenarios!R52,Scenarios!U52,Scenarios!X52)</f>
        <v>4.7500000000000001E-2</v>
      </c>
      <c r="E13" s="106"/>
      <c r="F13" s="130"/>
      <c r="G13" s="472"/>
      <c r="H13" s="723"/>
      <c r="I13" s="464"/>
      <c r="J13" s="888" t="s">
        <v>407</v>
      </c>
      <c r="K13" s="885">
        <f>K12*K11</f>
        <v>13564843.952000001</v>
      </c>
      <c r="L13" s="464"/>
      <c r="M13" s="476">
        <f t="shared" si="0"/>
        <v>7</v>
      </c>
      <c r="N13" s="464"/>
      <c r="O13" s="475"/>
      <c r="P13" s="475"/>
      <c r="Q13" s="475"/>
      <c r="R13" s="475"/>
      <c r="S13" s="475"/>
      <c r="T13" s="475"/>
      <c r="U13" s="297" t="str">
        <f>About!B10</f>
        <v>Replacement Reserves</v>
      </c>
      <c r="V13" s="789">
        <f>About!C10</f>
        <v>123000</v>
      </c>
      <c r="W13" s="477"/>
    </row>
    <row r="14" spans="1:40" x14ac:dyDescent="0.2">
      <c r="A14" s="475"/>
      <c r="B14" s="129"/>
      <c r="C14" s="104" t="s">
        <v>118</v>
      </c>
      <c r="D14" s="853">
        <f>CHOOSE($D$3,Scenarios!C53,Scenarios!F53,Scenarios!I53,Scenarios!L53,Scenarios!O53,Scenarios!R53,Scenarios!U53,Scenarios!X53)</f>
        <v>30</v>
      </c>
      <c r="E14" s="106"/>
      <c r="F14" s="130"/>
      <c r="G14" s="472"/>
      <c r="H14" s="475"/>
      <c r="I14" s="464"/>
      <c r="J14" s="888" t="s">
        <v>390</v>
      </c>
      <c r="K14" s="885">
        <f>K11-K13+D19</f>
        <v>3697210.9879999999</v>
      </c>
      <c r="L14" s="464"/>
      <c r="M14" s="476">
        <f t="shared" si="0"/>
        <v>8</v>
      </c>
      <c r="N14" s="464"/>
      <c r="O14" s="475"/>
      <c r="P14" s="475"/>
      <c r="Q14" s="475"/>
      <c r="R14" s="475"/>
      <c r="S14" s="475"/>
      <c r="T14" s="475"/>
      <c r="U14" s="297" t="str">
        <f>About!B11</f>
        <v>Repairs and Reserves</v>
      </c>
      <c r="V14" s="789">
        <f>About!C11</f>
        <v>755825.36145833333</v>
      </c>
      <c r="W14" s="477"/>
    </row>
    <row r="15" spans="1:40" x14ac:dyDescent="0.2">
      <c r="A15" s="475"/>
      <c r="B15" s="129"/>
      <c r="C15" s="104" t="s">
        <v>123</v>
      </c>
      <c r="D15" s="107">
        <v>0</v>
      </c>
      <c r="E15" s="106"/>
      <c r="F15" s="130"/>
      <c r="G15" s="472"/>
      <c r="H15" s="475"/>
      <c r="I15" s="464"/>
      <c r="J15" s="571" t="s">
        <v>235</v>
      </c>
      <c r="K15" s="464"/>
      <c r="L15" s="464"/>
      <c r="M15" s="464"/>
      <c r="N15" s="464"/>
      <c r="O15" s="475"/>
      <c r="P15" s="475"/>
      <c r="Q15" s="475"/>
      <c r="R15" s="475"/>
      <c r="S15" s="475"/>
      <c r="T15" s="475"/>
      <c r="U15" s="297" t="str">
        <f>About!B12</f>
        <v>Cap Rate at Resale</v>
      </c>
      <c r="V15" s="790">
        <f>About!C12</f>
        <v>9.2121974379084967E-2</v>
      </c>
      <c r="W15" s="477"/>
    </row>
    <row r="16" spans="1:40" x14ac:dyDescent="0.2">
      <c r="A16" s="475"/>
      <c r="B16" s="129"/>
      <c r="C16" s="104" t="s">
        <v>13</v>
      </c>
      <c r="D16" s="111">
        <v>0</v>
      </c>
      <c r="E16" s="106"/>
      <c r="F16" s="130"/>
      <c r="G16" s="472"/>
      <c r="H16" s="475"/>
      <c r="I16" s="464"/>
      <c r="J16" s="571" t="s">
        <v>235</v>
      </c>
      <c r="K16" s="464"/>
      <c r="L16" s="464"/>
      <c r="M16" s="464"/>
      <c r="N16" s="464"/>
      <c r="O16" s="475"/>
      <c r="P16" s="475"/>
      <c r="Q16" s="475"/>
      <c r="R16" s="475"/>
      <c r="S16" s="475"/>
      <c r="T16" s="475"/>
      <c r="U16" s="297" t="str">
        <f>About!B13</f>
        <v>Sale in Year 5</v>
      </c>
      <c r="V16" s="789" t="str">
        <f>About!C13</f>
        <v>Yes</v>
      </c>
      <c r="W16" s="477"/>
    </row>
    <row r="17" spans="1:23" x14ac:dyDescent="0.2">
      <c r="A17" s="475"/>
      <c r="B17" s="129"/>
      <c r="C17" s="104" t="s">
        <v>118</v>
      </c>
      <c r="D17" s="105">
        <v>0</v>
      </c>
      <c r="E17" s="106"/>
      <c r="F17" s="130"/>
      <c r="G17" s="472"/>
      <c r="H17" s="475"/>
      <c r="I17" s="464"/>
      <c r="J17" s="571" t="s">
        <v>235</v>
      </c>
      <c r="K17" s="464"/>
      <c r="L17" s="464"/>
      <c r="M17" s="464"/>
      <c r="N17" s="464"/>
      <c r="O17" s="475"/>
      <c r="P17" s="475"/>
      <c r="Q17" s="475"/>
      <c r="R17" s="475"/>
      <c r="S17" s="475"/>
      <c r="T17" s="475"/>
      <c r="U17" s="297" t="str">
        <f>About!B14</f>
        <v>No Refinance in Year 3 or 4</v>
      </c>
      <c r="V17" s="789" t="str">
        <f>About!C14</f>
        <v>Yes</v>
      </c>
      <c r="W17" s="477"/>
    </row>
    <row r="18" spans="1:23" ht="11.25" customHeight="1" x14ac:dyDescent="0.2">
      <c r="A18" s="475"/>
      <c r="B18" s="129"/>
      <c r="C18" s="104" t="s">
        <v>89</v>
      </c>
      <c r="D18" s="109">
        <f>IF(D8=0,0,'Acquisition Costs'!C47)</f>
        <v>472054.94</v>
      </c>
      <c r="E18" s="112">
        <f>IF(D8=0,0,D18/D8)</f>
        <v>3.0853264052287582E-2</v>
      </c>
      <c r="F18" s="132"/>
      <c r="G18" s="479"/>
      <c r="H18" s="475"/>
      <c r="I18" s="464"/>
      <c r="J18" s="571" t="s">
        <v>235</v>
      </c>
      <c r="K18" s="464"/>
      <c r="L18" s="464"/>
      <c r="M18" s="464"/>
      <c r="N18" s="464"/>
      <c r="O18" s="475"/>
      <c r="P18" s="475"/>
      <c r="Q18" s="475"/>
      <c r="R18" s="475"/>
      <c r="S18" s="475"/>
      <c r="T18" s="475"/>
      <c r="U18" s="477"/>
      <c r="V18" s="477"/>
      <c r="W18" s="477"/>
    </row>
    <row r="19" spans="1:23" x14ac:dyDescent="0.2">
      <c r="A19" s="475"/>
      <c r="B19" s="129"/>
      <c r="C19" s="104" t="s">
        <v>102</v>
      </c>
      <c r="D19" s="109">
        <f>E19*D8</f>
        <v>306000</v>
      </c>
      <c r="E19" s="890">
        <v>0.02</v>
      </c>
      <c r="F19" s="133"/>
      <c r="G19" s="480"/>
      <c r="H19" s="475"/>
      <c r="I19" s="464"/>
      <c r="J19" s="571" t="s">
        <v>235</v>
      </c>
      <c r="K19" s="464"/>
      <c r="L19" s="464"/>
      <c r="M19" s="464"/>
      <c r="N19" s="464"/>
      <c r="O19" s="475"/>
      <c r="P19" s="475"/>
      <c r="Q19" s="475"/>
      <c r="R19" s="475"/>
      <c r="S19" s="475"/>
      <c r="T19" s="475"/>
      <c r="U19" s="477"/>
      <c r="V19" s="477"/>
      <c r="W19" s="477"/>
    </row>
    <row r="20" spans="1:23" ht="12.75" customHeight="1" x14ac:dyDescent="0.2">
      <c r="A20" s="475"/>
      <c r="B20" s="129"/>
      <c r="C20" s="104" t="s">
        <v>319</v>
      </c>
      <c r="D20" s="107">
        <f>CHOOSE($D$3,Scenarios!C13,Scenarios!F13,Scenarios!I13,Scenarios!L13,Scenarios!O13,Scenarios!R13,Scenarios!U13,Scenarios!X13)</f>
        <v>984000</v>
      </c>
      <c r="E20" s="113"/>
      <c r="F20" s="134"/>
      <c r="G20" s="425" t="str">
        <f ca="1">About!E10</f>
        <v>Nice job putting at least $250/unit/year ($123000) in Replacement Reserves in the P&amp;L Tab (Line 29)</v>
      </c>
      <c r="H20" s="475"/>
      <c r="I20" s="464"/>
      <c r="J20" s="571"/>
      <c r="K20" s="464"/>
      <c r="L20" s="464"/>
      <c r="M20" s="464"/>
      <c r="N20" s="464"/>
      <c r="O20" s="475"/>
      <c r="P20" s="475"/>
      <c r="Q20" s="475"/>
      <c r="R20" s="475"/>
      <c r="S20" s="985" t="s">
        <v>393</v>
      </c>
      <c r="T20" s="985"/>
      <c r="U20" s="985"/>
      <c r="V20" s="985"/>
      <c r="W20" s="985"/>
    </row>
    <row r="21" spans="1:23" ht="11.25" customHeight="1" x14ac:dyDescent="0.2">
      <c r="A21" s="475"/>
      <c r="B21" s="129"/>
      <c r="C21" s="104" t="s">
        <v>203</v>
      </c>
      <c r="D21" s="109">
        <f>K14</f>
        <v>3697210.9879999999</v>
      </c>
      <c r="E21" s="106"/>
      <c r="F21" s="130"/>
      <c r="G21" s="472"/>
      <c r="H21" s="475"/>
      <c r="I21" s="464"/>
      <c r="J21" s="571" t="s">
        <v>235</v>
      </c>
      <c r="K21" s="464"/>
      <c r="L21" s="464"/>
      <c r="M21" s="464"/>
      <c r="N21" s="464"/>
      <c r="O21" s="475"/>
      <c r="P21" s="475"/>
      <c r="Q21" s="475"/>
      <c r="R21" s="475"/>
      <c r="S21" s="905" t="s">
        <v>396</v>
      </c>
      <c r="T21" s="906" t="s">
        <v>394</v>
      </c>
      <c r="U21" s="906" t="s">
        <v>374</v>
      </c>
      <c r="V21" s="906" t="s">
        <v>395</v>
      </c>
      <c r="W21" s="907" t="s">
        <v>42</v>
      </c>
    </row>
    <row r="22" spans="1:23" ht="12" thickBot="1" x14ac:dyDescent="0.25">
      <c r="A22" s="475"/>
      <c r="B22" s="129"/>
      <c r="C22" s="104" t="s">
        <v>144</v>
      </c>
      <c r="D22" s="891">
        <v>0.08</v>
      </c>
      <c r="E22" s="106"/>
      <c r="F22" s="130"/>
      <c r="G22" s="472"/>
      <c r="H22" s="475"/>
      <c r="I22" s="464"/>
      <c r="J22" s="571" t="s">
        <v>235</v>
      </c>
      <c r="K22" s="464"/>
      <c r="L22" s="464"/>
      <c r="M22" s="464"/>
      <c r="N22" s="464"/>
      <c r="O22" s="475"/>
      <c r="P22" s="475"/>
      <c r="Q22" s="475"/>
      <c r="R22" s="475"/>
      <c r="S22" s="908" t="s">
        <v>397</v>
      </c>
      <c r="T22" s="911" t="s">
        <v>398</v>
      </c>
      <c r="U22" s="909">
        <v>1</v>
      </c>
      <c r="V22" s="910">
        <v>40000</v>
      </c>
      <c r="W22" s="910">
        <f>V22*U22</f>
        <v>40000</v>
      </c>
    </row>
    <row r="23" spans="1:23" ht="12" thickBot="1" x14ac:dyDescent="0.25">
      <c r="A23" s="475"/>
      <c r="B23" s="129"/>
      <c r="C23" s="142" t="s">
        <v>209</v>
      </c>
      <c r="D23" s="145"/>
      <c r="E23" s="144"/>
      <c r="F23" s="130"/>
      <c r="G23" s="472"/>
      <c r="H23" s="475"/>
      <c r="I23" s="464"/>
      <c r="J23" s="571" t="s">
        <v>235</v>
      </c>
      <c r="K23" s="464"/>
      <c r="L23" s="464"/>
      <c r="M23" s="464"/>
      <c r="N23" s="464"/>
      <c r="O23" s="475"/>
      <c r="P23" s="475"/>
      <c r="Q23" s="475"/>
      <c r="R23" s="475"/>
      <c r="S23" s="908" t="s">
        <v>397</v>
      </c>
      <c r="T23" s="911" t="s">
        <v>399</v>
      </c>
      <c r="U23" s="909">
        <v>1</v>
      </c>
      <c r="V23" s="910">
        <v>35000</v>
      </c>
      <c r="W23" s="910">
        <f t="shared" ref="W23:W33" si="1">V23*U23</f>
        <v>35000</v>
      </c>
    </row>
    <row r="24" spans="1:23" ht="11.25" customHeight="1" x14ac:dyDescent="0.2">
      <c r="A24" s="475"/>
      <c r="B24" s="129"/>
      <c r="C24" s="104" t="s">
        <v>90</v>
      </c>
      <c r="D24" s="107">
        <f>CHOOSE($D$3,Scenarios!C20,Scenarios!F20,Scenarios!I20,Scenarios!L20,Scenarios!O20,Scenarios!R20,Scenarios!U20,Scenarios!X20)</f>
        <v>3332255</v>
      </c>
      <c r="E24" s="731"/>
      <c r="F24" s="130"/>
      <c r="G24" s="472"/>
      <c r="H24" s="475"/>
      <c r="I24" s="475"/>
      <c r="J24" s="571" t="s">
        <v>235</v>
      </c>
      <c r="K24" s="475"/>
      <c r="L24" s="475"/>
      <c r="M24" s="475"/>
      <c r="N24" s="475"/>
      <c r="O24" s="475"/>
      <c r="P24" s="475"/>
      <c r="Q24" s="475"/>
      <c r="R24" s="475"/>
      <c r="S24" s="908" t="s">
        <v>397</v>
      </c>
      <c r="T24" s="911" t="s">
        <v>400</v>
      </c>
      <c r="U24" s="909">
        <v>1</v>
      </c>
      <c r="V24" s="910">
        <v>30000</v>
      </c>
      <c r="W24" s="910">
        <f t="shared" si="1"/>
        <v>30000</v>
      </c>
    </row>
    <row r="25" spans="1:23" x14ac:dyDescent="0.2">
      <c r="A25" s="475"/>
      <c r="B25" s="129"/>
      <c r="C25" s="108" t="s">
        <v>226</v>
      </c>
      <c r="D25" s="109">
        <f>IF(D24=0,0,D24/D6/12)</f>
        <v>564.40633468834687</v>
      </c>
      <c r="E25" s="731"/>
      <c r="F25" s="130"/>
      <c r="G25" s="472"/>
      <c r="H25" s="475"/>
      <c r="I25" s="475"/>
      <c r="J25" s="571" t="s">
        <v>235</v>
      </c>
      <c r="K25" s="475"/>
      <c r="L25" s="475"/>
      <c r="M25" s="475"/>
      <c r="N25" s="475"/>
      <c r="O25" s="475"/>
      <c r="P25" s="475"/>
      <c r="Q25" s="475"/>
      <c r="R25" s="475"/>
      <c r="S25" s="908" t="s">
        <v>397</v>
      </c>
      <c r="T25" s="911" t="s">
        <v>401</v>
      </c>
      <c r="U25" s="909">
        <v>1</v>
      </c>
      <c r="V25" s="910">
        <v>40000</v>
      </c>
      <c r="W25" s="910">
        <f t="shared" si="1"/>
        <v>40000</v>
      </c>
    </row>
    <row r="26" spans="1:23" x14ac:dyDescent="0.2">
      <c r="A26" s="475"/>
      <c r="B26" s="129"/>
      <c r="C26" s="114" t="s">
        <v>91</v>
      </c>
      <c r="D26" s="430">
        <f>-D24*E26</f>
        <v>-166612.75</v>
      </c>
      <c r="E26" s="110">
        <f>CHOOSE($D$3,Scenarios!E21,Scenarios!H21,Scenarios!K21,Scenarios!N21,Scenarios!Q21,Scenarios!T21,Scenarios!W21,Scenarios!Z21)</f>
        <v>0.05</v>
      </c>
      <c r="F26" s="135"/>
      <c r="G26" s="475"/>
      <c r="H26" s="475"/>
      <c r="I26" s="475"/>
      <c r="J26" s="571" t="s">
        <v>235</v>
      </c>
      <c r="K26" s="475"/>
      <c r="L26" s="475"/>
      <c r="M26" s="475"/>
      <c r="N26" s="475"/>
      <c r="O26" s="475"/>
      <c r="P26" s="475"/>
      <c r="Q26" s="475"/>
      <c r="R26" s="475"/>
      <c r="S26" s="908" t="s">
        <v>397</v>
      </c>
      <c r="T26" s="911" t="s">
        <v>402</v>
      </c>
      <c r="U26" s="909">
        <v>2</v>
      </c>
      <c r="V26" s="910">
        <v>30000</v>
      </c>
      <c r="W26" s="910">
        <f t="shared" si="1"/>
        <v>60000</v>
      </c>
    </row>
    <row r="27" spans="1:23" ht="11.25" customHeight="1" x14ac:dyDescent="0.2">
      <c r="A27" s="475"/>
      <c r="B27" s="129"/>
      <c r="C27" s="114" t="s">
        <v>207</v>
      </c>
      <c r="D27" s="430">
        <f>-D24*E27</f>
        <v>-216596.57500000001</v>
      </c>
      <c r="E27" s="110">
        <f>CHOOSE($D$3,Scenarios!E22,Scenarios!H22,Scenarios!K22,Scenarios!N22,Scenarios!Q22,Scenarios!T22,Scenarios!W22,Scenarios!Z22)</f>
        <v>6.5000000000000002E-2</v>
      </c>
      <c r="F27" s="135"/>
      <c r="G27" s="475"/>
      <c r="H27" s="475"/>
      <c r="I27" s="475"/>
      <c r="J27" s="571" t="s">
        <v>235</v>
      </c>
      <c r="K27" s="475"/>
      <c r="L27" s="475"/>
      <c r="M27" s="475"/>
      <c r="N27" s="475"/>
      <c r="O27" s="475"/>
      <c r="P27" s="475"/>
      <c r="Q27" s="475"/>
      <c r="R27" s="475"/>
      <c r="S27" s="908" t="s">
        <v>397</v>
      </c>
      <c r="T27" s="911" t="s">
        <v>403</v>
      </c>
      <c r="U27" s="909">
        <v>1</v>
      </c>
      <c r="V27" s="910">
        <v>20000</v>
      </c>
      <c r="W27" s="910">
        <f t="shared" si="1"/>
        <v>20000</v>
      </c>
    </row>
    <row r="28" spans="1:23" x14ac:dyDescent="0.2">
      <c r="A28" s="475"/>
      <c r="B28" s="129"/>
      <c r="C28" s="114" t="s">
        <v>92</v>
      </c>
      <c r="D28" s="109">
        <f>D24+D26+D27</f>
        <v>2949045.6749999998</v>
      </c>
      <c r="E28" s="731"/>
      <c r="F28" s="130"/>
      <c r="G28" s="472"/>
      <c r="H28" s="475"/>
      <c r="I28" s="475"/>
      <c r="J28" s="475"/>
      <c r="K28" s="475"/>
      <c r="L28" s="475"/>
      <c r="M28" s="475"/>
      <c r="N28" s="475"/>
      <c r="O28" s="475"/>
      <c r="P28" s="475"/>
      <c r="Q28" s="475"/>
      <c r="R28" s="475"/>
      <c r="S28" s="908" t="s">
        <v>404</v>
      </c>
      <c r="T28" s="911" t="s">
        <v>398</v>
      </c>
      <c r="U28" s="909">
        <v>1</v>
      </c>
      <c r="V28" s="910">
        <v>40000</v>
      </c>
      <c r="W28" s="910">
        <f t="shared" si="1"/>
        <v>40000</v>
      </c>
    </row>
    <row r="29" spans="1:23" x14ac:dyDescent="0.2">
      <c r="A29" s="475"/>
      <c r="B29" s="129"/>
      <c r="C29" s="114" t="s">
        <v>93</v>
      </c>
      <c r="D29" s="107">
        <f>CHOOSE($D$3,Scenarios!C24,Scenarios!F24,Scenarios!I24,Scenarios!L24,Scenarios!O24,Scenarios!R24,Scenarios!U24,Scenarios!X24)</f>
        <v>151216</v>
      </c>
      <c r="E29" s="731"/>
      <c r="F29" s="130"/>
      <c r="G29" s="472"/>
      <c r="H29" s="475"/>
      <c r="I29" s="481"/>
      <c r="J29" s="475"/>
      <c r="K29" s="475"/>
      <c r="L29" s="475"/>
      <c r="M29" s="475"/>
      <c r="N29" s="475"/>
      <c r="O29" s="475"/>
      <c r="P29" s="475"/>
      <c r="Q29" s="475"/>
      <c r="R29" s="475"/>
      <c r="S29" s="908" t="s">
        <v>404</v>
      </c>
      <c r="T29" s="911" t="s">
        <v>399</v>
      </c>
      <c r="U29" s="909">
        <v>1</v>
      </c>
      <c r="V29" s="910">
        <v>35000</v>
      </c>
      <c r="W29" s="910">
        <f t="shared" si="1"/>
        <v>35000</v>
      </c>
    </row>
    <row r="30" spans="1:23" x14ac:dyDescent="0.2">
      <c r="A30" s="475"/>
      <c r="B30" s="129"/>
      <c r="C30" s="104" t="s">
        <v>184</v>
      </c>
      <c r="D30" s="109">
        <f>D28+D29</f>
        <v>3100261.6749999998</v>
      </c>
      <c r="E30" s="731"/>
      <c r="F30" s="130"/>
      <c r="G30" s="472"/>
      <c r="H30" s="475"/>
      <c r="I30" s="475"/>
      <c r="J30" s="475"/>
      <c r="K30" s="475"/>
      <c r="L30" s="475"/>
      <c r="M30" s="475"/>
      <c r="N30" s="475"/>
      <c r="O30" s="475"/>
      <c r="P30" s="475"/>
      <c r="Q30" s="475"/>
      <c r="R30" s="475"/>
      <c r="S30" s="908" t="s">
        <v>404</v>
      </c>
      <c r="T30" s="911" t="s">
        <v>400</v>
      </c>
      <c r="U30" s="909">
        <v>1</v>
      </c>
      <c r="V30" s="910">
        <v>30000</v>
      </c>
      <c r="W30" s="910">
        <f t="shared" si="1"/>
        <v>30000</v>
      </c>
    </row>
    <row r="31" spans="1:23" x14ac:dyDescent="0.2">
      <c r="A31" s="475"/>
      <c r="B31" s="129"/>
      <c r="C31" s="104" t="s">
        <v>82</v>
      </c>
      <c r="D31" s="109">
        <f>E31*D30</f>
        <v>1767295.4669999999</v>
      </c>
      <c r="E31" s="110">
        <f>CHOOSE($D$3,Scenarios!E46,Scenarios!H46,Scenarios!K46,Scenarios!N46,Scenarios!Q46,Scenarios!T46,Scenarios!W46,Scenarios!Z46)</f>
        <v>0.57004719351633437</v>
      </c>
      <c r="F31" s="135"/>
      <c r="G31" s="425" t="str">
        <f>About!E7</f>
        <v>Good job with the expenses! They're conservative since they're at least 50% of Total Net Income.</v>
      </c>
      <c r="H31" s="475"/>
      <c r="I31" s="475"/>
      <c r="J31" s="475"/>
      <c r="K31" s="475"/>
      <c r="L31" s="475"/>
      <c r="M31" s="475"/>
      <c r="N31" s="475"/>
      <c r="O31" s="475"/>
      <c r="P31" s="475"/>
      <c r="Q31" s="475"/>
      <c r="R31" s="475"/>
      <c r="S31" s="908" t="s">
        <v>404</v>
      </c>
      <c r="T31" s="911" t="s">
        <v>401</v>
      </c>
      <c r="U31" s="909">
        <v>1</v>
      </c>
      <c r="V31" s="910">
        <v>40000</v>
      </c>
      <c r="W31" s="910">
        <f t="shared" si="1"/>
        <v>40000</v>
      </c>
    </row>
    <row r="32" spans="1:23" x14ac:dyDescent="0.2">
      <c r="A32" s="475"/>
      <c r="B32" s="129"/>
      <c r="C32" s="104" t="s">
        <v>11</v>
      </c>
      <c r="D32" s="109">
        <f>D30-D31</f>
        <v>1332966.2079999999</v>
      </c>
      <c r="E32" s="731"/>
      <c r="F32" s="130"/>
      <c r="G32" s="472"/>
      <c r="H32" s="475"/>
      <c r="I32" s="475"/>
      <c r="J32" s="475"/>
      <c r="K32" s="475"/>
      <c r="L32" s="475"/>
      <c r="M32" s="475"/>
      <c r="N32" s="475"/>
      <c r="O32" s="475"/>
      <c r="P32" s="475"/>
      <c r="Q32" s="475"/>
      <c r="R32" s="475"/>
      <c r="S32" s="908" t="s">
        <v>404</v>
      </c>
      <c r="T32" s="911" t="s">
        <v>402</v>
      </c>
      <c r="U32" s="909">
        <v>2</v>
      </c>
      <c r="V32" s="910">
        <v>30000</v>
      </c>
      <c r="W32" s="910">
        <f t="shared" si="1"/>
        <v>60000</v>
      </c>
    </row>
    <row r="33" spans="1:23" ht="12" thickBot="1" x14ac:dyDescent="0.25">
      <c r="A33" s="475"/>
      <c r="B33" s="129"/>
      <c r="C33" s="104" t="s">
        <v>15</v>
      </c>
      <c r="D33" s="109">
        <f ca="1">'P&amp;L'!D37</f>
        <v>642123.85749999993</v>
      </c>
      <c r="E33" s="731"/>
      <c r="F33" s="130"/>
      <c r="G33" s="472"/>
      <c r="H33" s="475"/>
      <c r="I33" s="475"/>
      <c r="J33" s="482"/>
      <c r="K33" s="475"/>
      <c r="L33" s="475"/>
      <c r="M33" s="475"/>
      <c r="N33" s="475"/>
      <c r="O33" s="475"/>
      <c r="P33" s="475"/>
      <c r="Q33" s="475"/>
      <c r="R33" s="475"/>
      <c r="S33" s="916" t="s">
        <v>404</v>
      </c>
      <c r="T33" s="917" t="s">
        <v>403</v>
      </c>
      <c r="U33" s="918">
        <v>1</v>
      </c>
      <c r="V33" s="919">
        <v>20000</v>
      </c>
      <c r="W33" s="919">
        <f t="shared" si="1"/>
        <v>20000</v>
      </c>
    </row>
    <row r="34" spans="1:23" ht="12.75" thickTop="1" thickBot="1" x14ac:dyDescent="0.25">
      <c r="A34" s="475"/>
      <c r="B34" s="129"/>
      <c r="C34" s="115" t="s">
        <v>85</v>
      </c>
      <c r="D34" s="116">
        <f ca="1">D32-D33</f>
        <v>690842.35049999994</v>
      </c>
      <c r="E34" s="732"/>
      <c r="F34" s="130"/>
      <c r="G34" s="472"/>
      <c r="H34" s="475"/>
      <c r="I34" s="475"/>
      <c r="J34" s="483"/>
      <c r="K34" s="475"/>
      <c r="L34" s="475"/>
      <c r="M34" s="475"/>
      <c r="N34" s="475"/>
      <c r="O34" s="475"/>
      <c r="P34" s="475"/>
      <c r="Q34" s="475"/>
      <c r="R34" s="475"/>
      <c r="S34" s="912" t="s">
        <v>42</v>
      </c>
      <c r="T34" s="913"/>
      <c r="U34" s="914">
        <f>SUM(U22:U33)</f>
        <v>14</v>
      </c>
      <c r="V34" s="915"/>
      <c r="W34" s="915">
        <f>SUM(W22:W33)</f>
        <v>450000</v>
      </c>
    </row>
    <row r="35" spans="1:23" ht="12" thickBot="1" x14ac:dyDescent="0.25">
      <c r="A35" s="475"/>
      <c r="B35" s="129"/>
      <c r="C35" s="142" t="s">
        <v>86</v>
      </c>
      <c r="D35" s="145"/>
      <c r="E35" s="144"/>
      <c r="F35" s="130"/>
      <c r="G35" s="472"/>
      <c r="H35" s="475"/>
      <c r="I35" s="475"/>
      <c r="J35" s="484"/>
      <c r="K35" s="475"/>
      <c r="L35" s="475"/>
      <c r="M35" s="475"/>
      <c r="N35" s="475"/>
      <c r="O35" s="475"/>
      <c r="P35" s="475"/>
      <c r="Q35" s="475"/>
      <c r="R35" s="475"/>
      <c r="S35" s="908" t="s">
        <v>405</v>
      </c>
      <c r="T35" s="908" t="s">
        <v>406</v>
      </c>
      <c r="U35" s="920">
        <v>0.25</v>
      </c>
      <c r="V35" s="910"/>
      <c r="W35" s="921">
        <f>W34*(1+U35)</f>
        <v>562500</v>
      </c>
    </row>
    <row r="36" spans="1:23" x14ac:dyDescent="0.2">
      <c r="A36" s="475"/>
      <c r="B36" s="129"/>
      <c r="C36" s="104" t="s">
        <v>320</v>
      </c>
      <c r="D36" s="753">
        <f>IF(D8=0,0,D32/D8)</f>
        <v>8.7121974379084963E-2</v>
      </c>
      <c r="E36" s="106"/>
      <c r="F36" s="130"/>
      <c r="G36" s="472"/>
      <c r="H36" s="475"/>
      <c r="I36" s="475"/>
      <c r="J36" s="482"/>
      <c r="K36" s="475"/>
      <c r="L36" s="475"/>
      <c r="M36" s="475"/>
      <c r="N36" s="475"/>
      <c r="O36" s="475"/>
      <c r="P36" s="475"/>
      <c r="Q36" s="475"/>
      <c r="R36" s="475"/>
    </row>
    <row r="37" spans="1:23" x14ac:dyDescent="0.2">
      <c r="A37" s="475"/>
      <c r="B37" s="129"/>
      <c r="C37" s="104" t="s">
        <v>324</v>
      </c>
      <c r="D37" s="753">
        <f ca="1">Returns!N17</f>
        <v>0.13723304180126383</v>
      </c>
      <c r="E37" s="106"/>
      <c r="F37" s="130"/>
      <c r="G37" s="425" t="str">
        <f ca="1">About!E9</f>
        <v>The average Cash on Cash Return looks good since it's at least 9.0% over the 10 years of the investment.</v>
      </c>
      <c r="H37" s="725"/>
      <c r="I37" s="475"/>
      <c r="J37" s="485"/>
      <c r="K37" s="475"/>
      <c r="L37" s="475"/>
      <c r="M37" s="475"/>
      <c r="N37" s="475"/>
      <c r="O37" s="475"/>
      <c r="P37" s="475"/>
      <c r="Q37" s="475"/>
      <c r="R37" s="475"/>
      <c r="S37" s="475"/>
      <c r="T37" s="475"/>
      <c r="U37" s="904"/>
      <c r="V37" s="477"/>
      <c r="W37" s="477"/>
    </row>
    <row r="38" spans="1:23" x14ac:dyDescent="0.2">
      <c r="A38" s="475"/>
      <c r="B38" s="129"/>
      <c r="C38" s="104" t="s">
        <v>321</v>
      </c>
      <c r="D38" s="117">
        <f ca="1">IF(D8=0,0,'P&amp;L'!D59)</f>
        <v>2.1740091848245959</v>
      </c>
      <c r="E38" s="106"/>
      <c r="F38" s="130"/>
      <c r="G38" s="425" t="str">
        <f ca="1">About!E4</f>
        <v>Nice job! Since the Debt Coverage Ratio is at least 1.25 in the first year, you're more likely to qualify for financing.</v>
      </c>
      <c r="H38" s="723"/>
      <c r="I38" s="475"/>
      <c r="J38" s="486"/>
      <c r="K38" s="475"/>
      <c r="L38" s="475"/>
      <c r="M38" s="475"/>
      <c r="N38" s="475"/>
      <c r="O38" s="475"/>
      <c r="P38" s="475"/>
      <c r="Q38" s="475"/>
      <c r="R38" s="475"/>
      <c r="S38" s="475"/>
      <c r="T38" s="475"/>
      <c r="U38" s="904"/>
      <c r="V38" s="477"/>
      <c r="W38" s="477"/>
    </row>
    <row r="39" spans="1:23" ht="12" thickBot="1" x14ac:dyDescent="0.25">
      <c r="A39" s="475"/>
      <c r="B39" s="129"/>
      <c r="C39" s="104" t="s">
        <v>100</v>
      </c>
      <c r="D39" s="117">
        <f>IF(D24=0,0,D8/D24)</f>
        <v>4.5914853455092723</v>
      </c>
      <c r="E39" s="106"/>
      <c r="F39" s="130"/>
      <c r="G39" s="472"/>
      <c r="H39" s="475"/>
      <c r="I39" s="475"/>
      <c r="J39" s="486"/>
      <c r="K39" s="475"/>
      <c r="L39" s="475"/>
      <c r="M39" s="475"/>
      <c r="N39" s="475"/>
      <c r="O39" s="475"/>
      <c r="P39" s="475"/>
      <c r="Q39" s="475"/>
      <c r="R39" s="475"/>
      <c r="S39" s="475"/>
      <c r="T39" s="475"/>
      <c r="U39" s="904"/>
      <c r="V39" s="477"/>
      <c r="W39" s="477"/>
    </row>
    <row r="40" spans="1:23" ht="12" thickBot="1" x14ac:dyDescent="0.25">
      <c r="A40" s="475"/>
      <c r="B40" s="129"/>
      <c r="C40" s="142" t="s">
        <v>126</v>
      </c>
      <c r="D40" s="143"/>
      <c r="E40" s="144"/>
      <c r="F40" s="130"/>
      <c r="G40" s="472"/>
      <c r="H40" s="475"/>
      <c r="I40" s="475"/>
      <c r="J40" s="486"/>
      <c r="K40" s="475"/>
      <c r="L40" s="475"/>
      <c r="M40" s="475"/>
      <c r="N40" s="475"/>
      <c r="O40" s="475"/>
      <c r="P40" s="475"/>
      <c r="Q40" s="475"/>
      <c r="R40" s="475"/>
      <c r="S40" s="475"/>
      <c r="T40" s="475"/>
      <c r="U40" s="904"/>
      <c r="V40" s="477"/>
      <c r="W40" s="477"/>
    </row>
    <row r="41" spans="1:23" x14ac:dyDescent="0.2">
      <c r="A41" s="475"/>
      <c r="B41" s="129"/>
      <c r="C41" s="432" t="s">
        <v>62</v>
      </c>
      <c r="D41" s="892">
        <v>0.8</v>
      </c>
      <c r="E41" s="103"/>
      <c r="F41" s="130"/>
      <c r="G41" s="472"/>
      <c r="H41" s="475"/>
      <c r="I41" s="487"/>
      <c r="J41" s="486"/>
      <c r="K41" s="475"/>
      <c r="L41" s="475"/>
      <c r="M41" s="475"/>
      <c r="N41" s="475"/>
      <c r="O41" s="475"/>
      <c r="P41" s="475"/>
      <c r="Q41" s="475"/>
      <c r="R41" s="475"/>
      <c r="S41" s="475"/>
      <c r="T41" s="475"/>
      <c r="U41" s="477"/>
      <c r="V41" s="477"/>
      <c r="W41" s="477"/>
    </row>
    <row r="42" spans="1:23" x14ac:dyDescent="0.2">
      <c r="A42" s="475"/>
      <c r="B42" s="129"/>
      <c r="C42" s="104" t="s">
        <v>63</v>
      </c>
      <c r="D42" s="926">
        <v>0.3</v>
      </c>
      <c r="E42" s="106"/>
      <c r="F42" s="130"/>
      <c r="G42" s="472"/>
      <c r="H42" s="475"/>
      <c r="I42" s="475"/>
      <c r="J42" s="486"/>
      <c r="K42" s="475"/>
      <c r="L42" s="475"/>
      <c r="M42" s="475"/>
      <c r="N42" s="475"/>
      <c r="O42" s="475"/>
      <c r="P42" s="475"/>
      <c r="Q42" s="475"/>
      <c r="R42" s="475"/>
      <c r="S42" s="475"/>
      <c r="T42" s="475"/>
      <c r="U42" s="477"/>
      <c r="V42" s="477"/>
      <c r="W42" s="477"/>
    </row>
    <row r="43" spans="1:23" x14ac:dyDescent="0.2">
      <c r="A43" s="475"/>
      <c r="B43" s="129"/>
      <c r="C43" s="104" t="s">
        <v>64</v>
      </c>
      <c r="D43" s="893">
        <v>0.08</v>
      </c>
      <c r="E43" s="106"/>
      <c r="F43" s="130"/>
      <c r="G43" s="472"/>
      <c r="H43" s="488"/>
      <c r="I43" s="475"/>
      <c r="J43" s="486"/>
      <c r="K43" s="475"/>
      <c r="L43" s="475"/>
      <c r="M43" s="475"/>
      <c r="N43" s="475"/>
      <c r="O43" s="475"/>
      <c r="P43" s="475"/>
      <c r="Q43" s="475"/>
      <c r="R43" s="475"/>
      <c r="S43" s="475"/>
      <c r="T43" s="475"/>
      <c r="U43" s="477"/>
      <c r="V43" s="477"/>
      <c r="W43" s="477"/>
    </row>
    <row r="44" spans="1:23" x14ac:dyDescent="0.2">
      <c r="A44" s="475"/>
      <c r="B44" s="129"/>
      <c r="C44" s="118" t="s">
        <v>65</v>
      </c>
      <c r="D44" s="893">
        <v>1.4999999999999999E-2</v>
      </c>
      <c r="E44" s="106"/>
      <c r="F44" s="130"/>
      <c r="G44" s="472"/>
      <c r="H44" s="488"/>
      <c r="I44" s="475"/>
      <c r="J44" s="484"/>
      <c r="K44" s="475"/>
      <c r="L44" s="475"/>
      <c r="M44" s="475"/>
      <c r="N44" s="475"/>
      <c r="O44" s="475"/>
      <c r="P44" s="475"/>
      <c r="Q44" s="475"/>
      <c r="R44" s="475"/>
      <c r="S44" s="475"/>
      <c r="T44" s="475"/>
      <c r="U44" s="477"/>
      <c r="V44" s="477"/>
      <c r="W44" s="477"/>
    </row>
    <row r="45" spans="1:23" x14ac:dyDescent="0.2">
      <c r="A45" s="475"/>
      <c r="B45" s="129"/>
      <c r="C45" s="104" t="s">
        <v>66</v>
      </c>
      <c r="D45" s="893">
        <v>0</v>
      </c>
      <c r="E45" s="106"/>
      <c r="F45" s="130"/>
      <c r="G45" s="472"/>
      <c r="H45" s="488"/>
      <c r="I45" s="475"/>
      <c r="J45" s="475"/>
      <c r="K45" s="475"/>
      <c r="L45" s="475"/>
      <c r="M45" s="475"/>
      <c r="N45" s="475"/>
      <c r="O45" s="475"/>
      <c r="P45" s="475"/>
      <c r="Q45" s="475"/>
      <c r="R45" s="475"/>
      <c r="S45" s="475"/>
      <c r="T45" s="475"/>
      <c r="U45" s="477"/>
      <c r="V45" s="477"/>
      <c r="W45" s="477"/>
    </row>
    <row r="46" spans="1:23" x14ac:dyDescent="0.2">
      <c r="A46" s="475"/>
      <c r="B46" s="129"/>
      <c r="C46" s="104" t="s">
        <v>208</v>
      </c>
      <c r="D46" s="109">
        <f ca="1">'P&amp;L'!D48</f>
        <v>624251.96895799995</v>
      </c>
      <c r="E46" s="106"/>
      <c r="F46" s="130"/>
      <c r="G46" s="472"/>
      <c r="H46" s="488"/>
      <c r="I46" s="475"/>
      <c r="J46" s="475"/>
      <c r="K46" s="475"/>
      <c r="L46" s="475"/>
      <c r="M46" s="475"/>
      <c r="N46" s="475"/>
      <c r="O46" s="475"/>
      <c r="P46" s="475"/>
      <c r="Q46" s="475"/>
      <c r="R46" s="475"/>
      <c r="S46" s="475"/>
      <c r="T46" s="475"/>
      <c r="U46" s="477"/>
      <c r="V46" s="477"/>
      <c r="W46" s="477"/>
    </row>
    <row r="47" spans="1:23" ht="12" thickBot="1" x14ac:dyDescent="0.25">
      <c r="A47" s="475"/>
      <c r="B47" s="129"/>
      <c r="C47" s="121" t="s">
        <v>205</v>
      </c>
      <c r="D47" s="431">
        <f ca="1">IF(D8=0,0,D46/D21)</f>
        <v>0.16884402079949676</v>
      </c>
      <c r="E47" s="122"/>
      <c r="F47" s="130"/>
      <c r="G47" s="425"/>
      <c r="H47" s="488"/>
      <c r="I47" s="475"/>
      <c r="J47" s="484"/>
      <c r="K47" s="475"/>
      <c r="L47" s="475"/>
      <c r="M47" s="475"/>
      <c r="N47" s="475"/>
      <c r="O47" s="475"/>
      <c r="P47" s="475"/>
      <c r="Q47" s="475"/>
      <c r="R47" s="475"/>
      <c r="S47" s="475"/>
      <c r="T47" s="475"/>
      <c r="U47" s="477"/>
      <c r="V47" s="477"/>
      <c r="W47" s="477"/>
    </row>
    <row r="48" spans="1:23" x14ac:dyDescent="0.2">
      <c r="A48" s="475"/>
      <c r="B48" s="129"/>
      <c r="C48" s="119" t="s">
        <v>204</v>
      </c>
      <c r="D48" s="433">
        <f ca="1">Returns!N15</f>
        <v>0.23245117317195288</v>
      </c>
      <c r="E48" s="120"/>
      <c r="F48" s="130"/>
      <c r="G48" s="425" t="str">
        <f ca="1">About!E5</f>
        <v>Your AAR looks great! Since it's at least 15.0% it will be a lot easier to sell to investors.</v>
      </c>
      <c r="H48" s="475"/>
      <c r="I48" s="475"/>
      <c r="J48" s="475"/>
      <c r="K48" s="475"/>
      <c r="L48" s="475"/>
      <c r="M48" s="475"/>
      <c r="N48" s="475"/>
      <c r="O48" s="475"/>
      <c r="P48" s="475"/>
      <c r="Q48" s="475"/>
      <c r="R48" s="475"/>
      <c r="S48" s="475"/>
      <c r="T48" s="475"/>
      <c r="U48" s="477"/>
      <c r="V48" s="477"/>
      <c r="W48" s="477"/>
    </row>
    <row r="49" spans="1:40" x14ac:dyDescent="0.2">
      <c r="A49" s="475"/>
      <c r="B49" s="129"/>
      <c r="C49" s="424" t="str">
        <f>IF('Exit Strategies'!$D$4="NA","","(Equal to IRR because of Refinance)")</f>
        <v/>
      </c>
      <c r="D49" s="423"/>
      <c r="E49" s="122"/>
      <c r="F49" s="130"/>
      <c r="G49" s="425"/>
      <c r="H49" s="475"/>
      <c r="I49" s="475"/>
      <c r="J49" s="475"/>
      <c r="K49" s="475"/>
      <c r="L49" s="475"/>
      <c r="M49" s="475"/>
      <c r="N49" s="475"/>
      <c r="O49" s="475"/>
      <c r="P49" s="475"/>
      <c r="Q49" s="475"/>
      <c r="R49" s="475"/>
      <c r="S49" s="475"/>
      <c r="T49" s="475"/>
      <c r="U49" s="477"/>
      <c r="V49" s="477"/>
      <c r="W49" s="477"/>
    </row>
    <row r="50" spans="1:40" ht="12" thickBot="1" x14ac:dyDescent="0.25">
      <c r="A50" s="475"/>
      <c r="B50" s="129"/>
      <c r="C50" s="726" t="s">
        <v>325</v>
      </c>
      <c r="D50" s="216">
        <f ca="1">IF(D8=0,0,IRR!F18)</f>
        <v>0.18208640301147283</v>
      </c>
      <c r="E50" s="123"/>
      <c r="F50" s="130"/>
      <c r="G50" s="425" t="str">
        <f ca="1">About!E6</f>
        <v>This is a solid IRR since it's at least 13.0%.</v>
      </c>
      <c r="H50" s="475"/>
      <c r="I50" s="475"/>
      <c r="J50" s="483"/>
      <c r="K50" s="475"/>
      <c r="L50" s="475"/>
      <c r="M50" s="475"/>
      <c r="N50" s="475"/>
      <c r="O50" s="475"/>
      <c r="P50" s="475"/>
      <c r="Q50" s="475"/>
      <c r="R50" s="475"/>
      <c r="S50" s="475"/>
      <c r="T50" s="475"/>
      <c r="U50" s="477"/>
      <c r="V50" s="477"/>
      <c r="W50" s="477"/>
    </row>
    <row r="51" spans="1:40" ht="8.25" customHeight="1" x14ac:dyDescent="0.2">
      <c r="A51" s="475"/>
      <c r="B51" s="136"/>
      <c r="C51" s="137"/>
      <c r="D51" s="138"/>
      <c r="E51" s="137"/>
      <c r="F51" s="139"/>
      <c r="G51" s="475"/>
      <c r="H51" s="475"/>
      <c r="I51" s="475"/>
      <c r="J51" s="475"/>
      <c r="K51" s="475"/>
      <c r="L51" s="475"/>
      <c r="M51" s="475"/>
      <c r="N51" s="475"/>
      <c r="O51" s="475"/>
      <c r="P51" s="475"/>
      <c r="Q51" s="475"/>
      <c r="R51" s="475"/>
      <c r="S51" s="475"/>
      <c r="T51" s="475"/>
      <c r="U51" s="477"/>
      <c r="V51" s="477"/>
      <c r="W51" s="477"/>
    </row>
    <row r="52" spans="1:40" x14ac:dyDescent="0.2">
      <c r="A52" s="475"/>
      <c r="B52" s="194"/>
      <c r="C52" s="194"/>
      <c r="D52" s="220"/>
      <c r="E52" s="194"/>
      <c r="F52" s="194"/>
      <c r="G52" s="475"/>
      <c r="H52" s="475"/>
      <c r="I52" s="475"/>
      <c r="J52" s="475"/>
      <c r="K52" s="475"/>
      <c r="L52" s="475"/>
      <c r="M52" s="475"/>
      <c r="N52" s="475"/>
      <c r="O52" s="475"/>
      <c r="P52" s="475"/>
      <c r="Q52" s="475"/>
      <c r="R52" s="475"/>
      <c r="S52" s="475"/>
      <c r="T52" s="475"/>
      <c r="U52" s="477"/>
      <c r="V52" s="477"/>
      <c r="W52" s="477"/>
    </row>
    <row r="53" spans="1:40" s="194" customFormat="1" x14ac:dyDescent="0.2">
      <c r="C53" s="218" t="s">
        <v>301</v>
      </c>
      <c r="D53" s="220"/>
      <c r="U53" s="99"/>
      <c r="V53" s="99"/>
      <c r="W53" s="99"/>
      <c r="X53" s="99"/>
      <c r="Y53" s="99"/>
      <c r="Z53" s="99"/>
      <c r="AA53" s="99"/>
      <c r="AB53" s="99"/>
      <c r="AC53" s="99"/>
      <c r="AD53" s="99"/>
      <c r="AE53" s="99"/>
      <c r="AF53" s="99"/>
      <c r="AG53" s="99"/>
      <c r="AH53" s="99"/>
      <c r="AI53" s="99"/>
      <c r="AJ53" s="99"/>
      <c r="AK53" s="99"/>
      <c r="AL53" s="99"/>
      <c r="AM53" s="99"/>
      <c r="AN53" s="99"/>
    </row>
    <row r="54" spans="1:40" s="194" customFormat="1" x14ac:dyDescent="0.2">
      <c r="C54" s="218" t="s">
        <v>140</v>
      </c>
      <c r="D54" s="220"/>
      <c r="U54" s="99"/>
      <c r="V54" s="99"/>
      <c r="W54" s="99"/>
      <c r="X54" s="99"/>
      <c r="Y54" s="99"/>
      <c r="Z54" s="99"/>
      <c r="AA54" s="99"/>
      <c r="AB54" s="99"/>
      <c r="AC54" s="99"/>
      <c r="AD54" s="99"/>
      <c r="AE54" s="99"/>
      <c r="AF54" s="99"/>
      <c r="AG54" s="99"/>
      <c r="AH54" s="99"/>
      <c r="AI54" s="99"/>
      <c r="AJ54" s="99"/>
      <c r="AK54" s="99"/>
      <c r="AL54" s="99"/>
      <c r="AM54" s="99"/>
      <c r="AN54" s="99"/>
    </row>
    <row r="55" spans="1:40" s="194" customFormat="1" x14ac:dyDescent="0.2">
      <c r="D55" s="220"/>
      <c r="U55" s="99"/>
      <c r="V55" s="99"/>
      <c r="W55" s="99"/>
      <c r="X55" s="99"/>
      <c r="Y55" s="99"/>
      <c r="Z55" s="99"/>
      <c r="AA55" s="99"/>
      <c r="AB55" s="99"/>
      <c r="AC55" s="99"/>
      <c r="AD55" s="99"/>
      <c r="AE55" s="99"/>
      <c r="AF55" s="99"/>
      <c r="AG55" s="99"/>
      <c r="AH55" s="99"/>
      <c r="AI55" s="99"/>
      <c r="AJ55" s="99"/>
      <c r="AK55" s="99"/>
      <c r="AL55" s="99"/>
      <c r="AM55" s="99"/>
      <c r="AN55" s="99"/>
    </row>
    <row r="56" spans="1:40" s="194" customFormat="1" x14ac:dyDescent="0.2">
      <c r="D56" s="220"/>
      <c r="U56" s="99"/>
      <c r="V56" s="99"/>
      <c r="W56" s="99"/>
      <c r="X56" s="99"/>
      <c r="Y56" s="99"/>
      <c r="Z56" s="99"/>
      <c r="AA56" s="99"/>
      <c r="AB56" s="99"/>
      <c r="AC56" s="99"/>
      <c r="AD56" s="99"/>
      <c r="AE56" s="99"/>
      <c r="AF56" s="99"/>
      <c r="AG56" s="99"/>
      <c r="AH56" s="99"/>
      <c r="AI56" s="99"/>
      <c r="AJ56" s="99"/>
      <c r="AK56" s="99"/>
      <c r="AL56" s="99"/>
      <c r="AM56" s="99"/>
      <c r="AN56" s="99"/>
    </row>
    <row r="57" spans="1:40" s="194" customFormat="1" x14ac:dyDescent="0.2">
      <c r="D57" s="220"/>
      <c r="U57" s="99"/>
      <c r="V57" s="99"/>
      <c r="W57" s="99"/>
      <c r="X57" s="99"/>
      <c r="Y57" s="99"/>
      <c r="Z57" s="99"/>
      <c r="AA57" s="99"/>
      <c r="AB57" s="99"/>
      <c r="AC57" s="99"/>
      <c r="AD57" s="99"/>
      <c r="AE57" s="99"/>
      <c r="AF57" s="99"/>
      <c r="AG57" s="99"/>
      <c r="AH57" s="99"/>
      <c r="AI57" s="99"/>
      <c r="AJ57" s="99"/>
      <c r="AK57" s="99"/>
      <c r="AL57" s="99"/>
      <c r="AM57" s="99"/>
      <c r="AN57" s="99"/>
    </row>
    <row r="58" spans="1:40" s="194" customFormat="1" x14ac:dyDescent="0.2">
      <c r="D58" s="220"/>
      <c r="U58" s="99"/>
      <c r="V58" s="99"/>
      <c r="W58" s="99"/>
      <c r="X58" s="99"/>
      <c r="Y58" s="99"/>
      <c r="Z58" s="99"/>
      <c r="AA58" s="99"/>
      <c r="AB58" s="99"/>
      <c r="AC58" s="99"/>
      <c r="AD58" s="99"/>
      <c r="AE58" s="99"/>
      <c r="AF58" s="99"/>
      <c r="AG58" s="99"/>
      <c r="AH58" s="99"/>
      <c r="AI58" s="99"/>
      <c r="AJ58" s="99"/>
      <c r="AK58" s="99"/>
      <c r="AL58" s="99"/>
      <c r="AM58" s="99"/>
      <c r="AN58" s="99"/>
    </row>
    <row r="59" spans="1:40" s="194" customFormat="1" x14ac:dyDescent="0.2">
      <c r="D59" s="220"/>
      <c r="U59" s="99"/>
      <c r="V59" s="99"/>
      <c r="W59" s="99"/>
      <c r="X59" s="99"/>
      <c r="Y59" s="99"/>
      <c r="Z59" s="99"/>
      <c r="AA59" s="99"/>
      <c r="AB59" s="99"/>
      <c r="AC59" s="99"/>
      <c r="AD59" s="99"/>
      <c r="AE59" s="99"/>
      <c r="AF59" s="99"/>
      <c r="AG59" s="99"/>
      <c r="AH59" s="99"/>
      <c r="AI59" s="99"/>
      <c r="AJ59" s="99"/>
      <c r="AK59" s="99"/>
      <c r="AL59" s="99"/>
      <c r="AM59" s="99"/>
      <c r="AN59" s="99"/>
    </row>
    <row r="60" spans="1:40" s="194" customFormat="1" x14ac:dyDescent="0.2">
      <c r="D60" s="220"/>
      <c r="U60" s="99"/>
      <c r="V60" s="99"/>
      <c r="W60" s="99"/>
      <c r="X60" s="99"/>
      <c r="Y60" s="99"/>
      <c r="Z60" s="99"/>
      <c r="AA60" s="99"/>
      <c r="AB60" s="99"/>
      <c r="AC60" s="99"/>
      <c r="AD60" s="99"/>
      <c r="AE60" s="99"/>
      <c r="AF60" s="99"/>
      <c r="AG60" s="99"/>
      <c r="AH60" s="99"/>
      <c r="AI60" s="99"/>
      <c r="AJ60" s="99"/>
      <c r="AK60" s="99"/>
      <c r="AL60" s="99"/>
      <c r="AM60" s="99"/>
      <c r="AN60" s="99"/>
    </row>
    <row r="61" spans="1:40" s="194" customFormat="1" x14ac:dyDescent="0.2">
      <c r="D61" s="220"/>
      <c r="U61" s="99"/>
      <c r="V61" s="99"/>
      <c r="W61" s="99"/>
      <c r="X61" s="99"/>
      <c r="Y61" s="99"/>
      <c r="Z61" s="99"/>
      <c r="AA61" s="99"/>
      <c r="AB61" s="99"/>
      <c r="AC61" s="99"/>
      <c r="AD61" s="99"/>
      <c r="AE61" s="99"/>
      <c r="AF61" s="99"/>
      <c r="AG61" s="99"/>
      <c r="AH61" s="99"/>
      <c r="AI61" s="99"/>
      <c r="AJ61" s="99"/>
      <c r="AK61" s="99"/>
      <c r="AL61" s="99"/>
      <c r="AM61" s="99"/>
      <c r="AN61" s="99"/>
    </row>
    <row r="62" spans="1:40" s="194" customFormat="1" x14ac:dyDescent="0.2">
      <c r="D62" s="220"/>
      <c r="U62" s="99"/>
      <c r="V62" s="99"/>
      <c r="W62" s="99"/>
      <c r="X62" s="99"/>
      <c r="Y62" s="99"/>
      <c r="Z62" s="99"/>
      <c r="AA62" s="99"/>
      <c r="AB62" s="99"/>
      <c r="AC62" s="99"/>
      <c r="AD62" s="99"/>
      <c r="AE62" s="99"/>
      <c r="AF62" s="99"/>
      <c r="AG62" s="99"/>
      <c r="AH62" s="99"/>
      <c r="AI62" s="99"/>
      <c r="AJ62" s="99"/>
      <c r="AK62" s="99"/>
      <c r="AL62" s="99"/>
      <c r="AM62" s="99"/>
      <c r="AN62" s="99"/>
    </row>
    <row r="63" spans="1:40" s="194" customFormat="1" x14ac:dyDescent="0.2">
      <c r="D63" s="220"/>
      <c r="U63" s="99"/>
      <c r="V63" s="99"/>
      <c r="W63" s="99"/>
      <c r="X63" s="99"/>
      <c r="Y63" s="99"/>
      <c r="Z63" s="99"/>
      <c r="AA63" s="99"/>
      <c r="AB63" s="99"/>
      <c r="AC63" s="99"/>
      <c r="AD63" s="99"/>
      <c r="AE63" s="99"/>
      <c r="AF63" s="99"/>
      <c r="AG63" s="99"/>
      <c r="AH63" s="99"/>
      <c r="AI63" s="99"/>
      <c r="AJ63" s="99"/>
      <c r="AK63" s="99"/>
      <c r="AL63" s="99"/>
      <c r="AM63" s="99"/>
      <c r="AN63" s="99"/>
    </row>
    <row r="64" spans="1:40" s="194" customFormat="1" x14ac:dyDescent="0.2">
      <c r="D64" s="220"/>
      <c r="U64" s="99"/>
      <c r="V64" s="99"/>
      <c r="W64" s="99"/>
      <c r="X64" s="99"/>
      <c r="Y64" s="99"/>
      <c r="Z64" s="99"/>
      <c r="AA64" s="99"/>
      <c r="AB64" s="99"/>
      <c r="AC64" s="99"/>
      <c r="AD64" s="99"/>
      <c r="AE64" s="99"/>
      <c r="AF64" s="99"/>
      <c r="AG64" s="99"/>
      <c r="AH64" s="99"/>
      <c r="AI64" s="99"/>
      <c r="AJ64" s="99"/>
      <c r="AK64" s="99"/>
      <c r="AL64" s="99"/>
      <c r="AM64" s="99"/>
      <c r="AN64" s="99"/>
    </row>
    <row r="65" spans="4:40" s="194" customFormat="1" x14ac:dyDescent="0.2">
      <c r="D65" s="220"/>
      <c r="U65" s="99"/>
      <c r="V65" s="99"/>
      <c r="W65" s="99"/>
      <c r="X65" s="99"/>
      <c r="Y65" s="99"/>
      <c r="Z65" s="99"/>
      <c r="AA65" s="99"/>
      <c r="AB65" s="99"/>
      <c r="AC65" s="99"/>
      <c r="AD65" s="99"/>
      <c r="AE65" s="99"/>
      <c r="AF65" s="99"/>
      <c r="AG65" s="99"/>
      <c r="AH65" s="99"/>
      <c r="AI65" s="99"/>
      <c r="AJ65" s="99"/>
      <c r="AK65" s="99"/>
      <c r="AL65" s="99"/>
      <c r="AM65" s="99"/>
      <c r="AN65" s="99"/>
    </row>
    <row r="66" spans="4:40" s="194" customFormat="1" x14ac:dyDescent="0.2">
      <c r="D66" s="220"/>
      <c r="U66" s="99"/>
      <c r="V66" s="99"/>
      <c r="W66" s="99"/>
      <c r="X66" s="99"/>
      <c r="Y66" s="99"/>
      <c r="Z66" s="99"/>
      <c r="AA66" s="99"/>
      <c r="AB66" s="99"/>
      <c r="AC66" s="99"/>
      <c r="AD66" s="99"/>
      <c r="AE66" s="99"/>
      <c r="AF66" s="99"/>
      <c r="AG66" s="99"/>
      <c r="AH66" s="99"/>
      <c r="AI66" s="99"/>
      <c r="AJ66" s="99"/>
      <c r="AK66" s="99"/>
      <c r="AL66" s="99"/>
      <c r="AM66" s="99"/>
      <c r="AN66" s="99"/>
    </row>
    <row r="67" spans="4:40" s="194" customFormat="1" x14ac:dyDescent="0.2">
      <c r="D67" s="220"/>
      <c r="U67" s="99"/>
      <c r="V67" s="99"/>
      <c r="W67" s="99"/>
      <c r="X67" s="99"/>
      <c r="Y67" s="99"/>
      <c r="Z67" s="99"/>
      <c r="AA67" s="99"/>
      <c r="AB67" s="99"/>
      <c r="AC67" s="99"/>
      <c r="AD67" s="99"/>
      <c r="AE67" s="99"/>
      <c r="AF67" s="99"/>
      <c r="AG67" s="99"/>
      <c r="AH67" s="99"/>
      <c r="AI67" s="99"/>
      <c r="AJ67" s="99"/>
      <c r="AK67" s="99"/>
      <c r="AL67" s="99"/>
      <c r="AM67" s="99"/>
      <c r="AN67" s="99"/>
    </row>
    <row r="68" spans="4:40" s="194" customFormat="1" x14ac:dyDescent="0.2">
      <c r="D68" s="220"/>
    </row>
    <row r="69" spans="4:40" s="194" customFormat="1" x14ac:dyDescent="0.2">
      <c r="D69" s="220"/>
    </row>
    <row r="70" spans="4:40" s="194" customFormat="1" x14ac:dyDescent="0.2">
      <c r="D70" s="220"/>
    </row>
    <row r="71" spans="4:40" s="194" customFormat="1" x14ac:dyDescent="0.2">
      <c r="D71" s="220"/>
    </row>
    <row r="72" spans="4:40" s="194" customFormat="1" x14ac:dyDescent="0.2">
      <c r="D72" s="220"/>
    </row>
    <row r="73" spans="4:40" s="194" customFormat="1" x14ac:dyDescent="0.2">
      <c r="D73" s="220"/>
    </row>
    <row r="74" spans="4:40" s="194" customFormat="1" x14ac:dyDescent="0.2">
      <c r="D74" s="220"/>
    </row>
    <row r="75" spans="4:40" s="194" customFormat="1" x14ac:dyDescent="0.2">
      <c r="D75" s="220"/>
    </row>
    <row r="76" spans="4:40" s="194" customFormat="1" x14ac:dyDescent="0.2">
      <c r="D76" s="220"/>
    </row>
    <row r="77" spans="4:40" s="194" customFormat="1" x14ac:dyDescent="0.2">
      <c r="D77" s="220"/>
    </row>
    <row r="78" spans="4:40" s="194" customFormat="1" x14ac:dyDescent="0.2">
      <c r="D78" s="220"/>
    </row>
    <row r="79" spans="4:40" s="194" customFormat="1" x14ac:dyDescent="0.2">
      <c r="D79" s="220"/>
    </row>
    <row r="80" spans="4:40" s="194" customFormat="1" x14ac:dyDescent="0.2">
      <c r="D80" s="220"/>
    </row>
    <row r="81" spans="4:6" x14ac:dyDescent="0.2">
      <c r="D81" s="220"/>
      <c r="E81" s="194"/>
      <c r="F81" s="194"/>
    </row>
    <row r="82" spans="4:6" x14ac:dyDescent="0.2">
      <c r="D82" s="220"/>
      <c r="E82" s="194"/>
      <c r="F82" s="194"/>
    </row>
    <row r="83" spans="4:6" x14ac:dyDescent="0.2">
      <c r="D83" s="220"/>
      <c r="E83" s="194"/>
      <c r="F83" s="194"/>
    </row>
    <row r="84" spans="4:6" x14ac:dyDescent="0.2">
      <c r="D84" s="220"/>
      <c r="E84" s="194"/>
      <c r="F84" s="194"/>
    </row>
    <row r="85" spans="4:6" x14ac:dyDescent="0.2">
      <c r="D85" s="220"/>
      <c r="E85" s="194"/>
      <c r="F85" s="194"/>
    </row>
    <row r="86" spans="4:6" x14ac:dyDescent="0.2">
      <c r="D86" s="220"/>
      <c r="E86" s="194"/>
      <c r="F86" s="194"/>
    </row>
    <row r="87" spans="4:6" x14ac:dyDescent="0.2">
      <c r="D87" s="220"/>
      <c r="E87" s="194"/>
      <c r="F87" s="194"/>
    </row>
    <row r="88" spans="4:6" x14ac:dyDescent="0.2">
      <c r="D88" s="220"/>
      <c r="E88" s="194"/>
      <c r="F88" s="194"/>
    </row>
    <row r="89" spans="4:6" x14ac:dyDescent="0.2">
      <c r="D89" s="220"/>
      <c r="E89" s="194"/>
      <c r="F89" s="194"/>
    </row>
    <row r="90" spans="4:6" x14ac:dyDescent="0.2">
      <c r="D90" s="220"/>
      <c r="E90" s="194"/>
      <c r="F90" s="194"/>
    </row>
    <row r="91" spans="4:6" x14ac:dyDescent="0.2">
      <c r="D91" s="220"/>
      <c r="E91" s="194"/>
      <c r="F91" s="194"/>
    </row>
    <row r="92" spans="4:6" x14ac:dyDescent="0.2">
      <c r="D92" s="220"/>
      <c r="E92" s="194"/>
      <c r="F92" s="194"/>
    </row>
    <row r="93" spans="4:6" x14ac:dyDescent="0.2">
      <c r="D93" s="220"/>
      <c r="E93" s="194"/>
      <c r="F93" s="194"/>
    </row>
    <row r="94" spans="4:6" x14ac:dyDescent="0.2">
      <c r="D94" s="220"/>
      <c r="E94" s="194"/>
      <c r="F94" s="194"/>
    </row>
    <row r="95" spans="4:6" x14ac:dyDescent="0.2">
      <c r="D95" s="220"/>
      <c r="E95" s="194"/>
      <c r="F95" s="194"/>
    </row>
    <row r="96" spans="4:6" x14ac:dyDescent="0.2">
      <c r="D96" s="220"/>
      <c r="E96" s="194"/>
      <c r="F96" s="194"/>
    </row>
    <row r="97" spans="4:6" x14ac:dyDescent="0.2">
      <c r="D97" s="220"/>
      <c r="E97" s="194"/>
      <c r="F97" s="194"/>
    </row>
    <row r="98" spans="4:6" x14ac:dyDescent="0.2">
      <c r="D98" s="220"/>
      <c r="E98" s="194"/>
      <c r="F98" s="194"/>
    </row>
    <row r="99" spans="4:6" x14ac:dyDescent="0.2">
      <c r="D99" s="220"/>
      <c r="E99" s="194"/>
      <c r="F99" s="194"/>
    </row>
    <row r="100" spans="4:6" x14ac:dyDescent="0.2">
      <c r="D100" s="220"/>
      <c r="E100" s="194"/>
      <c r="F100" s="194"/>
    </row>
    <row r="101" spans="4:6" x14ac:dyDescent="0.2">
      <c r="D101" s="220"/>
      <c r="E101" s="194"/>
      <c r="F101" s="194"/>
    </row>
    <row r="102" spans="4:6" x14ac:dyDescent="0.2">
      <c r="D102" s="220"/>
      <c r="E102" s="194"/>
      <c r="F102" s="194"/>
    </row>
    <row r="103" spans="4:6" x14ac:dyDescent="0.2">
      <c r="D103" s="220"/>
      <c r="E103" s="194"/>
      <c r="F103" s="194"/>
    </row>
  </sheetData>
  <customSheetViews>
    <customSheetView guid="{238A3432-2201-4481-B06C-00480E9813A7}" printArea="1" showRuler="0">
      <selection activeCell="C10" sqref="C10"/>
      <pageMargins left="0.7" right="0.7" top="0.75" bottom="0.75" header="0.3" footer="0.3"/>
      <pageSetup orientation="portrait" horizontalDpi="300" verticalDpi="300"/>
      <headerFooter alignWithMargins="0"/>
    </customSheetView>
  </customSheetViews>
  <mergeCells count="3">
    <mergeCell ref="A1:P1"/>
    <mergeCell ref="J7:K7"/>
    <mergeCell ref="S20:W20"/>
  </mergeCells>
  <phoneticPr fontId="0" type="noConversion"/>
  <conditionalFormatting sqref="E31">
    <cfRule type="cellIs" priority="1" stopIfTrue="1" operator="equal">
      <formula>0</formula>
    </cfRule>
    <cfRule type="cellIs" dxfId="40" priority="2" stopIfTrue="1" operator="lessThan">
      <formula>$V$10</formula>
    </cfRule>
    <cfRule type="cellIs" dxfId="39" priority="3" stopIfTrue="1" operator="greaterThanOrEqual">
      <formula>$V$10</formula>
    </cfRule>
  </conditionalFormatting>
  <conditionalFormatting sqref="D37">
    <cfRule type="cellIs" priority="4" stopIfTrue="1" operator="equal">
      <formula>0</formula>
    </cfRule>
    <cfRule type="cellIs" dxfId="38" priority="5" stopIfTrue="1" operator="lessThan">
      <formula>$V$12</formula>
    </cfRule>
    <cfRule type="cellIs" dxfId="37" priority="6" stopIfTrue="1" operator="greaterThanOrEqual">
      <formula>$V$12</formula>
    </cfRule>
  </conditionalFormatting>
  <conditionalFormatting sqref="D38">
    <cfRule type="cellIs" priority="7" stopIfTrue="1" operator="equal">
      <formula>0</formula>
    </cfRule>
    <cfRule type="cellIs" dxfId="36" priority="8" stopIfTrue="1" operator="greaterThanOrEqual">
      <formula>$V$7</formula>
    </cfRule>
    <cfRule type="cellIs" dxfId="35" priority="9" stopIfTrue="1" operator="lessThan">
      <formula>$V$7</formula>
    </cfRule>
  </conditionalFormatting>
  <conditionalFormatting sqref="D50">
    <cfRule type="cellIs" priority="10" stopIfTrue="1" operator="equal">
      <formula>0</formula>
    </cfRule>
    <cfRule type="cellIs" dxfId="34" priority="11" stopIfTrue="1" operator="lessThan">
      <formula>$V$9</formula>
    </cfRule>
    <cfRule type="cellIs" dxfId="33" priority="12" stopIfTrue="1" operator="greaterThanOrEqual">
      <formula>$V$9</formula>
    </cfRule>
  </conditionalFormatting>
  <conditionalFormatting sqref="D20">
    <cfRule type="expression" priority="25" stopIfTrue="1">
      <formula>$D$8=0</formula>
    </cfRule>
    <cfRule type="cellIs" dxfId="32" priority="26" stopIfTrue="1" operator="lessThan">
      <formula>$V$14</formula>
    </cfRule>
    <cfRule type="cellIs" dxfId="31" priority="27" stopIfTrue="1" operator="greaterThanOrEqual">
      <formula>$V$14</formula>
    </cfRule>
  </conditionalFormatting>
  <conditionalFormatting sqref="D48">
    <cfRule type="cellIs" priority="28" stopIfTrue="1" operator="equal">
      <formula>0</formula>
    </cfRule>
    <cfRule type="cellIs" dxfId="30" priority="29" stopIfTrue="1" operator="lessThan">
      <formula>$V$8</formula>
    </cfRule>
    <cfRule type="cellIs" dxfId="29" priority="30" stopIfTrue="1" operator="greaterThanOrEqual">
      <formula>$V$8</formula>
    </cfRule>
  </conditionalFormatting>
  <dataValidations count="1">
    <dataValidation type="list" allowBlank="1" showInputMessage="1" showErrorMessage="1" promptTitle="TIP" prompt="Select the Scenario from the Scenarios tab to populate the Summary tab with." sqref="D3" xr:uid="{00000000-0002-0000-0300-000000000000}">
      <formula1>$M$7:$M$14</formula1>
    </dataValidation>
  </dataValidations>
  <pageMargins left="0.43" right="0.34" top="1" bottom="1" header="0.5" footer="0.5"/>
  <pageSetup orientation="landscape" horizontalDpi="300" verticalDpi="300"/>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outlinePr summaryBelow="0" summaryRight="0"/>
  </sheetPr>
  <dimension ref="A1:AC65"/>
  <sheetViews>
    <sheetView workbookViewId="0">
      <pane xSplit="3" ySplit="6" topLeftCell="D7" activePane="bottomRight" state="frozen"/>
      <selection pane="topRight" activeCell="D1" sqref="D1"/>
      <selection pane="bottomLeft" activeCell="A11" sqref="A11"/>
      <selection pane="bottomRight" activeCell="F7" sqref="F7"/>
    </sheetView>
  </sheetViews>
  <sheetFormatPr defaultColWidth="8.85546875" defaultRowHeight="11.25" outlineLevelRow="1" x14ac:dyDescent="0.2"/>
  <cols>
    <col min="1" max="1" width="6.28515625" style="1" customWidth="1"/>
    <col min="2" max="2" width="23.85546875" style="1" customWidth="1"/>
    <col min="3" max="3" width="7.42578125" style="1" customWidth="1"/>
    <col min="4" max="4" width="10.7109375" style="1" bestFit="1" customWidth="1"/>
    <col min="5" max="5" width="6.28515625" style="1" customWidth="1"/>
    <col min="6" max="6" width="10.7109375" style="1" bestFit="1" customWidth="1"/>
    <col min="7" max="7" width="6.28515625" style="1" customWidth="1"/>
    <col min="8" max="8" width="10.7109375" style="1" bestFit="1" customWidth="1"/>
    <col min="9" max="9" width="6.85546875" style="1" customWidth="1"/>
    <col min="10" max="10" width="10.85546875" style="1" customWidth="1"/>
    <col min="11" max="11" width="6.42578125" style="1" customWidth="1"/>
    <col min="12" max="12" width="10.7109375" style="1" bestFit="1" customWidth="1"/>
    <col min="13" max="13" width="6.28515625" style="1" customWidth="1"/>
    <col min="14" max="14" width="10.7109375" style="1" bestFit="1" customWidth="1"/>
    <col min="15" max="15" width="6.28515625" style="1" customWidth="1"/>
    <col min="16" max="16" width="10.7109375" style="1" bestFit="1" customWidth="1"/>
    <col min="17" max="17" width="6.28515625" style="1" customWidth="1"/>
    <col min="18" max="18" width="10.7109375" style="1" bestFit="1" customWidth="1"/>
    <col min="19" max="19" width="6.28515625" style="1" customWidth="1"/>
    <col min="20" max="20" width="10.42578125" style="1" customWidth="1"/>
    <col min="21" max="21" width="6.28515625" style="1" customWidth="1"/>
    <col min="22" max="22" width="10.85546875" style="1" customWidth="1"/>
    <col min="23" max="23" width="6.28515625" style="1" customWidth="1"/>
    <col min="24" max="27" width="8.85546875" style="1"/>
    <col min="28" max="28" width="25.42578125" style="1" customWidth="1"/>
    <col min="29" max="29" width="9.28515625" style="1" customWidth="1"/>
    <col min="30" max="16384" width="8.85546875" style="1"/>
  </cols>
  <sheetData>
    <row r="1" spans="1:29" ht="12" thickBot="1" x14ac:dyDescent="0.25"/>
    <row r="2" spans="1:29" x14ac:dyDescent="0.2">
      <c r="B2" s="56" t="s">
        <v>72</v>
      </c>
      <c r="C2" s="57"/>
      <c r="D2" s="58" t="s">
        <v>6</v>
      </c>
      <c r="E2" s="59"/>
      <c r="F2" s="58" t="s">
        <v>7</v>
      </c>
      <c r="G2" s="58"/>
      <c r="H2" s="58" t="s">
        <v>227</v>
      </c>
      <c r="I2" s="60"/>
      <c r="J2" s="2" t="s">
        <v>228</v>
      </c>
      <c r="K2" s="3"/>
      <c r="L2" s="2" t="s">
        <v>229</v>
      </c>
      <c r="M2" s="3"/>
      <c r="N2" s="2" t="s">
        <v>230</v>
      </c>
      <c r="O2" s="3"/>
      <c r="P2" s="2" t="s">
        <v>231</v>
      </c>
      <c r="Q2" s="3"/>
      <c r="R2" s="2" t="s">
        <v>232</v>
      </c>
      <c r="S2" s="3"/>
      <c r="T2" s="2" t="s">
        <v>233</v>
      </c>
      <c r="U2" s="3"/>
      <c r="V2" s="2" t="s">
        <v>234</v>
      </c>
      <c r="W2" s="3"/>
    </row>
    <row r="3" spans="1:29" x14ac:dyDescent="0.2">
      <c r="B3" s="4" t="s">
        <v>94</v>
      </c>
      <c r="C3" s="5"/>
      <c r="D3" s="6">
        <v>0.03</v>
      </c>
      <c r="E3" s="5"/>
      <c r="F3" s="92">
        <f>D3</f>
        <v>0.03</v>
      </c>
      <c r="G3" s="92"/>
      <c r="H3" s="92">
        <f>F3</f>
        <v>0.03</v>
      </c>
      <c r="I3" s="7"/>
      <c r="J3" s="92">
        <f>H3</f>
        <v>0.03</v>
      </c>
      <c r="L3" s="92">
        <f>J3</f>
        <v>0.03</v>
      </c>
      <c r="N3" s="92">
        <f t="shared" ref="N3:V4" si="0">L3</f>
        <v>0.03</v>
      </c>
      <c r="O3" s="92">
        <f t="shared" si="0"/>
        <v>0</v>
      </c>
      <c r="P3" s="92">
        <f t="shared" si="0"/>
        <v>0.03</v>
      </c>
      <c r="Q3" s="92">
        <f t="shared" si="0"/>
        <v>0</v>
      </c>
      <c r="R3" s="92">
        <f t="shared" si="0"/>
        <v>0.03</v>
      </c>
      <c r="S3" s="92">
        <f t="shared" si="0"/>
        <v>0</v>
      </c>
      <c r="T3" s="92">
        <f t="shared" si="0"/>
        <v>0.03</v>
      </c>
      <c r="U3" s="92">
        <f t="shared" si="0"/>
        <v>0</v>
      </c>
      <c r="V3" s="92">
        <f t="shared" si="0"/>
        <v>0.03</v>
      </c>
    </row>
    <row r="4" spans="1:29" ht="12" thickBot="1" x14ac:dyDescent="0.25">
      <c r="B4" s="9" t="s">
        <v>95</v>
      </c>
      <c r="C4" s="10"/>
      <c r="D4" s="11">
        <v>0.02</v>
      </c>
      <c r="E4" s="10"/>
      <c r="F4" s="93">
        <f>D4</f>
        <v>0.02</v>
      </c>
      <c r="G4" s="93"/>
      <c r="H4" s="93">
        <f>F4</f>
        <v>0.02</v>
      </c>
      <c r="I4" s="12"/>
      <c r="J4" s="92">
        <f>H4</f>
        <v>0.02</v>
      </c>
      <c r="L4" s="92">
        <f>J4</f>
        <v>0.02</v>
      </c>
      <c r="N4" s="92">
        <f t="shared" si="0"/>
        <v>0.02</v>
      </c>
      <c r="O4" s="92">
        <f t="shared" si="0"/>
        <v>0</v>
      </c>
      <c r="P4" s="92">
        <f t="shared" si="0"/>
        <v>0.02</v>
      </c>
      <c r="Q4" s="92">
        <f t="shared" si="0"/>
        <v>0</v>
      </c>
      <c r="R4" s="92">
        <f t="shared" si="0"/>
        <v>0.02</v>
      </c>
      <c r="S4" s="92">
        <f t="shared" si="0"/>
        <v>0</v>
      </c>
      <c r="T4" s="92">
        <f t="shared" si="0"/>
        <v>0.02</v>
      </c>
      <c r="U4" s="92">
        <f t="shared" si="0"/>
        <v>0</v>
      </c>
      <c r="V4" s="92">
        <f t="shared" si="0"/>
        <v>0.02</v>
      </c>
    </row>
    <row r="5" spans="1:29" ht="12" thickBot="1" x14ac:dyDescent="0.25">
      <c r="D5" s="426">
        <f>Summary!D25</f>
        <v>564.40633468834687</v>
      </c>
      <c r="E5" s="8"/>
      <c r="F5" s="426" t="str">
        <f>IF(F6='Exit Strategies'!$D$4,"REFINANCE!",IF(F6='Exit Strategies'!$D$5,"SALE!",""))</f>
        <v/>
      </c>
      <c r="H5" s="426" t="str">
        <f>IF(H6='Exit Strategies'!$D$4,"REFINANCE!",IF(H6='Exit Strategies'!$D$5,"SALE!",""))</f>
        <v/>
      </c>
      <c r="J5" s="426" t="str">
        <f>IF(J6='Exit Strategies'!$D$4,"REFINANCE!",IF(J6='Exit Strategies'!$D$5,"SALE!",""))</f>
        <v/>
      </c>
      <c r="L5" s="426" t="str">
        <f>IF(L6='Exit Strategies'!$D$4,"REFINANCE!",IF(L6='Exit Strategies'!$D$5,"SALE!",""))</f>
        <v/>
      </c>
      <c r="N5" s="426" t="str">
        <f>IF(N6='Exit Strategies'!$D$4,"REFINANCE!",IF(N6='Exit Strategies'!$D$5,"SALE!",""))</f>
        <v/>
      </c>
      <c r="P5" s="426" t="str">
        <f>IF(P6='Exit Strategies'!$D$4,"REFINANCE!",IF(P6='Exit Strategies'!$D$5,"SALE!",""))</f>
        <v/>
      </c>
      <c r="R5" s="426" t="str">
        <f>IF(R6='Exit Strategies'!$D$4,"REFINANCE!",IF(R6='Exit Strategies'!$D$5,"SALE!",""))</f>
        <v/>
      </c>
      <c r="T5" s="426" t="str">
        <f>IF(T6='Exit Strategies'!$D$4,"REFINANCE!",IF(T6='Exit Strategies'!$D$5,"SALE!",""))</f>
        <v/>
      </c>
      <c r="V5" s="426" t="str">
        <f>IF(V6='Exit Strategies'!$D$4,"REFINANCE!",IF(V6='Exit Strategies'!$D$5,"SALE!",""))</f>
        <v>SALE!</v>
      </c>
    </row>
    <row r="6" spans="1:29" x14ac:dyDescent="0.2">
      <c r="B6" s="61" t="s">
        <v>48</v>
      </c>
      <c r="C6" s="59"/>
      <c r="D6" s="58">
        <v>1</v>
      </c>
      <c r="E6" s="58"/>
      <c r="F6" s="58">
        <f>D6+1</f>
        <v>2</v>
      </c>
      <c r="G6" s="58"/>
      <c r="H6" s="58">
        <f>F6+1</f>
        <v>3</v>
      </c>
      <c r="I6" s="58"/>
      <c r="J6" s="58">
        <f>H6+1</f>
        <v>4</v>
      </c>
      <c r="K6" s="58"/>
      <c r="L6" s="58">
        <f>J6+1</f>
        <v>5</v>
      </c>
      <c r="M6" s="58"/>
      <c r="N6" s="58">
        <f>L6+1</f>
        <v>6</v>
      </c>
      <c r="O6" s="58"/>
      <c r="P6" s="58">
        <f>N6+1</f>
        <v>7</v>
      </c>
      <c r="Q6" s="58"/>
      <c r="R6" s="58">
        <f>P6+1</f>
        <v>8</v>
      </c>
      <c r="S6" s="58"/>
      <c r="T6" s="58">
        <f>R6+1</f>
        <v>9</v>
      </c>
      <c r="U6" s="58"/>
      <c r="V6" s="58">
        <f>T6+1</f>
        <v>10</v>
      </c>
      <c r="W6" s="252"/>
    </row>
    <row r="7" spans="1:29" x14ac:dyDescent="0.2">
      <c r="B7" s="633"/>
      <c r="C7" s="568" t="s">
        <v>245</v>
      </c>
      <c r="D7" s="902">
        <f>(F7-D5)/2+D5</f>
        <v>576.96942750677499</v>
      </c>
      <c r="E7" s="6"/>
      <c r="F7" s="902">
        <f>Scenarios!AL7</f>
        <v>589.53252032520322</v>
      </c>
      <c r="G7" s="656"/>
      <c r="H7" s="655">
        <f>F7*(1+H3)</f>
        <v>607.21849593495938</v>
      </c>
      <c r="I7" s="656"/>
      <c r="J7" s="655">
        <f>H7*(1+J3)</f>
        <v>625.43505081300816</v>
      </c>
      <c r="K7" s="656"/>
      <c r="L7" s="655">
        <f>J7*(1+L3)</f>
        <v>644.19810233739838</v>
      </c>
      <c r="M7" s="656"/>
      <c r="N7" s="655">
        <f>L7*(1+N3)</f>
        <v>663.52404540752036</v>
      </c>
      <c r="O7" s="656"/>
      <c r="P7" s="655">
        <f>N7*(1+P3)</f>
        <v>683.42976676974604</v>
      </c>
      <c r="Q7" s="656"/>
      <c r="R7" s="655">
        <f>P7*(1+R3)</f>
        <v>703.93265977283841</v>
      </c>
      <c r="S7" s="656"/>
      <c r="T7" s="655">
        <f>R7*(1+T3)</f>
        <v>725.05063956602362</v>
      </c>
      <c r="U7" s="656"/>
      <c r="V7" s="655">
        <f>T7*(1+V3)</f>
        <v>746.80215875300439</v>
      </c>
      <c r="W7" s="657"/>
    </row>
    <row r="8" spans="1:29" x14ac:dyDescent="0.2">
      <c r="B8" s="17" t="s">
        <v>45</v>
      </c>
      <c r="C8" s="18"/>
      <c r="D8" s="16">
        <f>D7*Summary!$D$6*12</f>
        <v>3406427.5</v>
      </c>
      <c r="E8" s="53"/>
      <c r="F8" s="16">
        <f>F7*Summary!$D$6*12</f>
        <v>3480600</v>
      </c>
      <c r="G8" s="29"/>
      <c r="H8" s="16">
        <f>H7*Summary!$D$6*12</f>
        <v>3585018</v>
      </c>
      <c r="I8" s="53"/>
      <c r="J8" s="16">
        <f>J7*Summary!$D$6*12</f>
        <v>3692568.5400000005</v>
      </c>
      <c r="K8" s="53"/>
      <c r="L8" s="16">
        <f>L7*Summary!$D$6*12</f>
        <v>3803345.5962</v>
      </c>
      <c r="M8" s="53"/>
      <c r="N8" s="16">
        <f>N7*Summary!$D$6*12</f>
        <v>3917445.9640859999</v>
      </c>
      <c r="O8" s="53"/>
      <c r="P8" s="16">
        <f>P7*Summary!$D$6*12</f>
        <v>4034969.3430085806</v>
      </c>
      <c r="Q8" s="53"/>
      <c r="R8" s="16">
        <f>R7*Summary!$D$6*12</f>
        <v>4156018.4232988376</v>
      </c>
      <c r="S8" s="53"/>
      <c r="T8" s="16">
        <f>T7*Summary!$D$6*12</f>
        <v>4280698.9759978037</v>
      </c>
      <c r="U8" s="53"/>
      <c r="V8" s="16">
        <f>V7*Summary!$D$6*12</f>
        <v>4409119.9452777384</v>
      </c>
      <c r="W8" s="253"/>
      <c r="AB8" s="740" t="str">
        <f>About!B3</f>
        <v>Key Metric</v>
      </c>
      <c r="AC8" s="740" t="str">
        <f>About!C3</f>
        <v>Minimum Criteria</v>
      </c>
    </row>
    <row r="9" spans="1:29" x14ac:dyDescent="0.2">
      <c r="B9" s="20" t="s">
        <v>47</v>
      </c>
      <c r="C9" s="21"/>
      <c r="D9" s="22">
        <f>-E9*D8</f>
        <v>-170321.375</v>
      </c>
      <c r="E9" s="29">
        <f>Summary!E26</f>
        <v>0.05</v>
      </c>
      <c r="F9" s="393">
        <f>-G9*F8</f>
        <v>-174030</v>
      </c>
      <c r="G9" s="95">
        <f>E9</f>
        <v>0.05</v>
      </c>
      <c r="H9" s="393">
        <f>-I9*H8</f>
        <v>-179250.90000000002</v>
      </c>
      <c r="I9" s="95">
        <f>G9</f>
        <v>0.05</v>
      </c>
      <c r="J9" s="393">
        <f>-K9*J8</f>
        <v>-184628.42700000003</v>
      </c>
      <c r="K9" s="95">
        <f>I9</f>
        <v>0.05</v>
      </c>
      <c r="L9" s="393">
        <f>-M9*L8</f>
        <v>-190167.27981000001</v>
      </c>
      <c r="M9" s="95">
        <f>K9</f>
        <v>0.05</v>
      </c>
      <c r="N9" s="393">
        <f>-O9*N8</f>
        <v>-195872.29820429999</v>
      </c>
      <c r="O9" s="95">
        <f>M9</f>
        <v>0.05</v>
      </c>
      <c r="P9" s="393">
        <f>-Q9*P8</f>
        <v>-201748.46715042903</v>
      </c>
      <c r="Q9" s="95">
        <f>O9</f>
        <v>0.05</v>
      </c>
      <c r="R9" s="393">
        <f>-S9*R8</f>
        <v>-207800.92116494189</v>
      </c>
      <c r="S9" s="95">
        <f>Q9</f>
        <v>0.05</v>
      </c>
      <c r="T9" s="393">
        <f>-U9*T8</f>
        <v>-214034.9487998902</v>
      </c>
      <c r="U9" s="95">
        <f>S9</f>
        <v>0.05</v>
      </c>
      <c r="V9" s="393">
        <f>-W9*V8</f>
        <v>-220455.99726388694</v>
      </c>
      <c r="W9" s="254">
        <f>U9</f>
        <v>0.05</v>
      </c>
      <c r="AB9" s="748" t="str">
        <f>About!B4</f>
        <v>Debt Coverage Ratio (DCR)</v>
      </c>
      <c r="AC9" s="748">
        <f>About!C4</f>
        <v>1.25</v>
      </c>
    </row>
    <row r="10" spans="1:29" x14ac:dyDescent="0.2">
      <c r="B10" s="20" t="s">
        <v>206</v>
      </c>
      <c r="C10" s="21"/>
      <c r="D10" s="393">
        <f>-E10*D8</f>
        <v>-221417.78750000001</v>
      </c>
      <c r="E10" s="29">
        <f>Summary!E27</f>
        <v>6.5000000000000002E-2</v>
      </c>
      <c r="F10" s="393">
        <f>-G10*F8</f>
        <v>-226239</v>
      </c>
      <c r="G10" s="923">
        <f>E10</f>
        <v>6.5000000000000002E-2</v>
      </c>
      <c r="H10" s="393">
        <f>-I10*H8</f>
        <v>-233026.17</v>
      </c>
      <c r="I10" s="95">
        <f>G10</f>
        <v>6.5000000000000002E-2</v>
      </c>
      <c r="J10" s="393">
        <f>-K10*J8</f>
        <v>-240016.95510000005</v>
      </c>
      <c r="K10" s="95">
        <f>I10</f>
        <v>6.5000000000000002E-2</v>
      </c>
      <c r="L10" s="393">
        <f>-M10*L8</f>
        <v>-247217.46375300002</v>
      </c>
      <c r="M10" s="95">
        <f>K10</f>
        <v>6.5000000000000002E-2</v>
      </c>
      <c r="N10" s="393">
        <f>-O10*N8</f>
        <v>-254633.98766558999</v>
      </c>
      <c r="O10" s="95">
        <f>M10</f>
        <v>6.5000000000000002E-2</v>
      </c>
      <c r="P10" s="393">
        <f>-Q10*P8</f>
        <v>-262273.00729555776</v>
      </c>
      <c r="Q10" s="95">
        <f>O10</f>
        <v>6.5000000000000002E-2</v>
      </c>
      <c r="R10" s="393">
        <f>-S10*R8</f>
        <v>-270141.19751442445</v>
      </c>
      <c r="S10" s="95">
        <f>Q10</f>
        <v>6.5000000000000002E-2</v>
      </c>
      <c r="T10" s="393">
        <f>-U10*T8</f>
        <v>-278245.43343985727</v>
      </c>
      <c r="U10" s="95">
        <f>S10</f>
        <v>6.5000000000000002E-2</v>
      </c>
      <c r="V10" s="393">
        <f>-W10*V8</f>
        <v>-286592.796443053</v>
      </c>
      <c r="W10" s="254">
        <f>U10</f>
        <v>6.5000000000000002E-2</v>
      </c>
      <c r="AB10" s="748" t="str">
        <f>About!B6</f>
        <v>Internal Rate of Return (IRR)</v>
      </c>
      <c r="AC10" s="749">
        <f>About!C6</f>
        <v>0.13</v>
      </c>
    </row>
    <row r="11" spans="1:29" x14ac:dyDescent="0.2">
      <c r="B11" s="23" t="s">
        <v>46</v>
      </c>
      <c r="C11" s="24"/>
      <c r="D11" s="25">
        <f>SUM(D8:D10)</f>
        <v>3014688.3374999999</v>
      </c>
      <c r="E11" s="55"/>
      <c r="F11" s="25">
        <f>SUM(F8:F10)</f>
        <v>3080331</v>
      </c>
      <c r="G11" s="55"/>
      <c r="H11" s="25">
        <f>SUM(H8:H10)</f>
        <v>3172740.93</v>
      </c>
      <c r="I11" s="55"/>
      <c r="J11" s="25">
        <f>SUM(J8:J10)</f>
        <v>3267923.1579000005</v>
      </c>
      <c r="K11" s="55"/>
      <c r="L11" s="25">
        <f>SUM(L8:L10)</f>
        <v>3365960.8526369999</v>
      </c>
      <c r="M11" s="55"/>
      <c r="N11" s="25">
        <f>SUM(N8:N10)</f>
        <v>3466939.67821611</v>
      </c>
      <c r="O11" s="55"/>
      <c r="P11" s="25">
        <f>SUM(P8:P10)</f>
        <v>3570947.8685625936</v>
      </c>
      <c r="Q11" s="55"/>
      <c r="R11" s="25">
        <f>SUM(R8:R10)</f>
        <v>3678076.3046194711</v>
      </c>
      <c r="S11" s="55"/>
      <c r="T11" s="25">
        <f>SUM(T8:T10)</f>
        <v>3788418.5937580564</v>
      </c>
      <c r="U11" s="55"/>
      <c r="V11" s="25">
        <f>SUM(V8:V10)</f>
        <v>3902071.1515707984</v>
      </c>
      <c r="W11" s="255"/>
      <c r="AB11" s="748" t="str">
        <f>About!B7</f>
        <v>Expenses</v>
      </c>
      <c r="AC11" s="749">
        <f>About!C7</f>
        <v>0.5</v>
      </c>
    </row>
    <row r="12" spans="1:29" x14ac:dyDescent="0.2">
      <c r="B12" s="17" t="s">
        <v>25</v>
      </c>
      <c r="C12" s="18"/>
      <c r="D12" s="22">
        <f>Summary!D29</f>
        <v>151216</v>
      </c>
      <c r="E12" s="53"/>
      <c r="F12" s="16">
        <f>D12*(1+F3)</f>
        <v>155752.48000000001</v>
      </c>
      <c r="G12" s="53"/>
      <c r="H12" s="16">
        <f>F12*(1+H3)</f>
        <v>160425.05440000002</v>
      </c>
      <c r="I12" s="53"/>
      <c r="J12" s="16">
        <f>H12*(1+J3)</f>
        <v>165237.80603200002</v>
      </c>
      <c r="K12" s="53"/>
      <c r="L12" s="16">
        <f>J12*(1+L3)</f>
        <v>170194.94021296003</v>
      </c>
      <c r="M12" s="53"/>
      <c r="N12" s="16">
        <f>L12*(1+N3)</f>
        <v>175300.78841934883</v>
      </c>
      <c r="O12" s="53"/>
      <c r="P12" s="16">
        <f>N12*(1+P3)</f>
        <v>180559.81207192931</v>
      </c>
      <c r="Q12" s="53"/>
      <c r="R12" s="16">
        <f>P12*(1+R3)</f>
        <v>185976.60643408718</v>
      </c>
      <c r="S12" s="53"/>
      <c r="T12" s="16">
        <f>R12*(1+T3)</f>
        <v>191555.90462710979</v>
      </c>
      <c r="U12" s="53"/>
      <c r="V12" s="16">
        <f>T12*(1+V3)</f>
        <v>197302.5817659231</v>
      </c>
      <c r="W12" s="253"/>
      <c r="AB12" s="748" t="str">
        <f>About!B8</f>
        <v>% of Capital Returned With Refinance</v>
      </c>
      <c r="AC12" s="749">
        <f>About!C8</f>
        <v>0.6</v>
      </c>
    </row>
    <row r="13" spans="1:29" ht="12" thickBot="1" x14ac:dyDescent="0.25">
      <c r="B13" s="26" t="s">
        <v>184</v>
      </c>
      <c r="C13" s="27"/>
      <c r="D13" s="28">
        <f>SUM(D11:D12)</f>
        <v>3165904.3374999999</v>
      </c>
      <c r="E13" s="28"/>
      <c r="F13" s="28">
        <f>SUM(F11:F12)</f>
        <v>3236083.48</v>
      </c>
      <c r="G13" s="28"/>
      <c r="H13" s="28">
        <f>SUM(H11:H12)</f>
        <v>3333165.9844000004</v>
      </c>
      <c r="I13" s="28"/>
      <c r="J13" s="28">
        <f>SUM(J11:J12)</f>
        <v>3433160.9639320006</v>
      </c>
      <c r="K13" s="28"/>
      <c r="L13" s="28">
        <f>SUM(L11:L12)</f>
        <v>3536155.7928499598</v>
      </c>
      <c r="M13" s="28"/>
      <c r="N13" s="28">
        <f>SUM(N11:N12)</f>
        <v>3642240.4666354586</v>
      </c>
      <c r="O13" s="28"/>
      <c r="P13" s="28">
        <f>SUM(P11:P12)</f>
        <v>3751507.6806345228</v>
      </c>
      <c r="Q13" s="28"/>
      <c r="R13" s="28">
        <f>SUM(R11:R12)</f>
        <v>3864052.9110535583</v>
      </c>
      <c r="S13" s="28"/>
      <c r="T13" s="28">
        <f>SUM(T11:T12)</f>
        <v>3979974.4983851663</v>
      </c>
      <c r="U13" s="28"/>
      <c r="V13" s="28">
        <f>SUM(V11:V12)</f>
        <v>4099373.7333367215</v>
      </c>
      <c r="W13" s="256"/>
      <c r="AB13" s="748" t="str">
        <f>About!B9</f>
        <v>Average Cash on Cash (COC) Return</v>
      </c>
      <c r="AC13" s="749">
        <f>About!C9</f>
        <v>0.09</v>
      </c>
    </row>
    <row r="14" spans="1:29" ht="12" thickTop="1" x14ac:dyDescent="0.2">
      <c r="B14" s="13"/>
      <c r="C14" s="14"/>
      <c r="D14" s="15"/>
      <c r="E14" s="15"/>
      <c r="F14" s="15"/>
      <c r="G14" s="15"/>
      <c r="H14" s="15"/>
      <c r="I14" s="15"/>
      <c r="J14" s="15"/>
      <c r="K14" s="15"/>
      <c r="L14" s="15"/>
      <c r="M14" s="15"/>
      <c r="N14" s="15"/>
      <c r="O14" s="15"/>
      <c r="P14" s="15"/>
      <c r="Q14" s="15"/>
      <c r="R14" s="15"/>
      <c r="S14" s="15"/>
      <c r="T14" s="15"/>
      <c r="U14" s="15"/>
      <c r="V14" s="15"/>
      <c r="W14" s="257"/>
      <c r="AB14" s="748" t="str">
        <f>About!B10</f>
        <v>Replacement Reserves</v>
      </c>
      <c r="AC14" s="791">
        <f>About!C10</f>
        <v>123000</v>
      </c>
    </row>
    <row r="15" spans="1:29" x14ac:dyDescent="0.2">
      <c r="B15" s="62" t="s">
        <v>49</v>
      </c>
      <c r="C15" s="63"/>
      <c r="D15" s="64"/>
      <c r="E15" s="64"/>
      <c r="F15" s="64"/>
      <c r="G15" s="64"/>
      <c r="H15" s="64"/>
      <c r="I15" s="64"/>
      <c r="J15" s="64"/>
      <c r="K15" s="64"/>
      <c r="L15" s="64"/>
      <c r="M15" s="64"/>
      <c r="N15" s="64"/>
      <c r="O15" s="64"/>
      <c r="P15" s="64"/>
      <c r="Q15" s="64"/>
      <c r="R15" s="64"/>
      <c r="S15" s="64"/>
      <c r="T15" s="64"/>
      <c r="U15" s="64"/>
      <c r="V15" s="64"/>
      <c r="W15" s="258"/>
      <c r="AB15" s="748" t="str">
        <f>About!B11</f>
        <v>Repairs and Reserves</v>
      </c>
      <c r="AC15" s="791">
        <f>About!C11</f>
        <v>755825.36145833333</v>
      </c>
    </row>
    <row r="16" spans="1:29" outlineLevel="1" x14ac:dyDescent="0.2">
      <c r="A16" s="151"/>
      <c r="B16" s="17" t="s">
        <v>26</v>
      </c>
      <c r="C16" s="18"/>
      <c r="D16" s="19">
        <f>CHOOSE(Summary!$D$3,Scenarios!C28,Scenarios!F28,Scenarios!I28,Scenarios!L28,Scenarios!O28,Scenarios!R28,Scenarios!U28,Scenarios!X28)</f>
        <v>67234</v>
      </c>
      <c r="E16" s="53">
        <f t="shared" ref="E16:E23" si="1">IF(D16=0,0,D16/$D$13)</f>
        <v>2.123690195045257E-2</v>
      </c>
      <c r="F16" s="16">
        <f t="shared" ref="F16:F22" si="2">D16*(1+F$4)</f>
        <v>68578.680000000008</v>
      </c>
      <c r="G16" s="53">
        <f>IF(F16=0,0,F16/$F$13)</f>
        <v>2.1191876051355762E-2</v>
      </c>
      <c r="H16" s="901">
        <f>F16-30000+(0.0785*(0.32*8000000))</f>
        <v>239538.68</v>
      </c>
      <c r="I16" s="53">
        <f>IF(H16=0,0,H16/$H$13)</f>
        <v>7.1865211969970075E-2</v>
      </c>
      <c r="J16" s="16">
        <f t="shared" ref="J16:J28" si="3">H16*(1+J$4)</f>
        <v>244329.45360000001</v>
      </c>
      <c r="K16" s="53">
        <f>IF(J16=0,0,J16/$J$13)</f>
        <v>7.1167491465407254E-2</v>
      </c>
      <c r="L16" s="901">
        <f>J16-42000+(0.0785*(0.32*8000000))</f>
        <v>403289.45360000001</v>
      </c>
      <c r="M16" s="53">
        <f>IF(L16=0,0,L16/$L$13)</f>
        <v>0.11404742246239367</v>
      </c>
      <c r="N16" s="16">
        <f>L16*(1+N$4)</f>
        <v>411355.24267200002</v>
      </c>
      <c r="O16" s="53">
        <f>IF(N16=0,0,N16/$N$13)</f>
        <v>0.11294016593363257</v>
      </c>
      <c r="P16" s="16">
        <f>N16*(1+P$4)</f>
        <v>419582.34752544004</v>
      </c>
      <c r="Q16" s="53">
        <f>IF(P16=0,0,P16/$P$13)</f>
        <v>0.11184365946825749</v>
      </c>
      <c r="R16" s="16">
        <f>P16*(1+R$4)</f>
        <v>427973.99447594886</v>
      </c>
      <c r="S16" s="53">
        <f>IF(R16=0,0,R16/$R$13)</f>
        <v>0.11075779869672102</v>
      </c>
      <c r="T16" s="16">
        <f>R16*(1+T$4)</f>
        <v>436533.47436546785</v>
      </c>
      <c r="U16" s="53">
        <f>IF(T16=0,0,T16/$T$13)</f>
        <v>0.10968248026277223</v>
      </c>
      <c r="V16" s="16">
        <f>T16*(1+V$4)</f>
        <v>445264.1438527772</v>
      </c>
      <c r="W16" s="253">
        <f>IF(V16=0,0,V16/$V$13)</f>
        <v>0.1086176018136191</v>
      </c>
      <c r="AB16" s="748" t="str">
        <f>About!B12</f>
        <v>Cap Rate at Resale</v>
      </c>
      <c r="AC16" s="792">
        <f>About!C12</f>
        <v>9.2121974379084967E-2</v>
      </c>
    </row>
    <row r="17" spans="1:29" outlineLevel="1" x14ac:dyDescent="0.2">
      <c r="A17" s="151"/>
      <c r="B17" s="17" t="s">
        <v>27</v>
      </c>
      <c r="C17" s="18"/>
      <c r="D17" s="19">
        <f>CHOOSE(Summary!$D$3,Scenarios!C29,Scenarios!F29,Scenarios!I29,Scenarios!L29,Scenarios!O29,Scenarios!R29,Scenarios!U29,Scenarios!X29)</f>
        <v>123000</v>
      </c>
      <c r="E17" s="53">
        <f t="shared" si="1"/>
        <v>3.8851458189393256E-2</v>
      </c>
      <c r="F17" s="16">
        <f t="shared" si="2"/>
        <v>125460</v>
      </c>
      <c r="G17" s="53">
        <f t="shared" ref="G17:G23" si="4">IF(F17=0,0,F17/$F$13)</f>
        <v>3.8769086389576081E-2</v>
      </c>
      <c r="H17" s="16">
        <f t="shared" ref="H17:H28" si="5">F17*(1+H$4)</f>
        <v>127969.2</v>
      </c>
      <c r="I17" s="53">
        <f t="shared" ref="I17:I23" si="6">IF(H17=0,0,H17/$H$13)</f>
        <v>3.8392687492589901E-2</v>
      </c>
      <c r="J17" s="16">
        <f t="shared" si="3"/>
        <v>130528.584</v>
      </c>
      <c r="K17" s="53">
        <f t="shared" ref="K17:K23" si="7">IF(J17=0,0,J17/$J$13)</f>
        <v>3.8019942953826893E-2</v>
      </c>
      <c r="L17" s="16">
        <f t="shared" ref="L17:L28" si="8">J17*(1+L$4)</f>
        <v>133139.15568</v>
      </c>
      <c r="M17" s="53">
        <f t="shared" ref="M17:M23" si="9">IF(L17=0,0,L17/$L$13)</f>
        <v>3.7650817294081006E-2</v>
      </c>
      <c r="N17" s="16">
        <f>L17*(1+N$4)</f>
        <v>135801.93879360001</v>
      </c>
      <c r="O17" s="53">
        <f t="shared" ref="O17:O23" si="10">IF(N17=0,0,N17/$N$13)</f>
        <v>3.7285275378604495E-2</v>
      </c>
      <c r="P17" s="16">
        <f>N17*(1+P$4)</f>
        <v>138517.97756947202</v>
      </c>
      <c r="Q17" s="53">
        <f t="shared" ref="Q17:Q23" si="11">IF(P17=0,0,P17/$P$13)</f>
        <v>3.6923282413763671E-2</v>
      </c>
      <c r="R17" s="16">
        <f>P17*(1+R$4)</f>
        <v>141288.33712086146</v>
      </c>
      <c r="S17" s="53">
        <f t="shared" ref="S17:S23" si="12">IF(R17=0,0,R17/$R$13)</f>
        <v>3.6564803943727131E-2</v>
      </c>
      <c r="T17" s="16">
        <f>R17*(1+T$4)</f>
        <v>144114.10386327869</v>
      </c>
      <c r="U17" s="53">
        <f t="shared" ref="U17:U23" si="13">IF(T17=0,0,T17/$T$13)</f>
        <v>3.6209805847186083E-2</v>
      </c>
      <c r="V17" s="16">
        <f>T17*(1+V$4)</f>
        <v>146996.38594054428</v>
      </c>
      <c r="W17" s="253">
        <f t="shared" ref="W17:W23" si="14">IF(V17=0,0,V17/$V$13)</f>
        <v>3.585825433410661E-2</v>
      </c>
      <c r="Y17" s="900"/>
      <c r="AB17" s="748" t="str">
        <f>About!B13</f>
        <v>Sale in Year 5</v>
      </c>
      <c r="AC17" s="748" t="str">
        <f>About!C13</f>
        <v>Yes</v>
      </c>
    </row>
    <row r="18" spans="1:29" outlineLevel="1" x14ac:dyDescent="0.2">
      <c r="A18" s="151"/>
      <c r="B18" s="17" t="s">
        <v>43</v>
      </c>
      <c r="C18" s="18"/>
      <c r="D18" s="19">
        <f>CHOOSE(Summary!$D$3,Scenarios!C30,Scenarios!F30,Scenarios!I30,Scenarios!L30,Scenarios!O30,Scenarios!R30,Scenarios!U30,Scenarios!X30)</f>
        <v>94193</v>
      </c>
      <c r="E18" s="53">
        <f t="shared" si="1"/>
        <v>2.9752320335231862E-2</v>
      </c>
      <c r="F18" s="16">
        <f t="shared" si="2"/>
        <v>96076.86</v>
      </c>
      <c r="G18" s="53">
        <f t="shared" si="4"/>
        <v>2.9689240278807642E-2</v>
      </c>
      <c r="H18" s="16">
        <f>F18*(1+H$4)</f>
        <v>97998.397200000007</v>
      </c>
      <c r="I18" s="53">
        <f t="shared" si="6"/>
        <v>2.940099522755708E-2</v>
      </c>
      <c r="J18" s="16">
        <f>H18*(1+J$4)</f>
        <v>99958.36514400001</v>
      </c>
      <c r="K18" s="53">
        <f t="shared" si="7"/>
        <v>2.911554867194973E-2</v>
      </c>
      <c r="L18" s="16">
        <f>J18*(1+L$4)</f>
        <v>101957.53244688001</v>
      </c>
      <c r="M18" s="53">
        <f t="shared" si="9"/>
        <v>2.8832873442124981E-2</v>
      </c>
      <c r="N18" s="16">
        <f>L18*(1+N$4)</f>
        <v>103996.68309581761</v>
      </c>
      <c r="O18" s="53">
        <f t="shared" si="10"/>
        <v>2.8552942632007264E-2</v>
      </c>
      <c r="P18" s="16">
        <f>N18*(1+P$4)</f>
        <v>106076.61675773397</v>
      </c>
      <c r="Q18" s="53">
        <f t="shared" si="11"/>
        <v>2.8275729596745052E-2</v>
      </c>
      <c r="R18" s="16">
        <f>P18*(1+R$4)</f>
        <v>108198.14909288865</v>
      </c>
      <c r="S18" s="53">
        <f t="shared" si="12"/>
        <v>2.8001207950174713E-2</v>
      </c>
      <c r="T18" s="16">
        <f>R18*(1+T$4)</f>
        <v>110362.11207474643</v>
      </c>
      <c r="U18" s="53">
        <f t="shared" si="13"/>
        <v>2.7729351562308935E-2</v>
      </c>
      <c r="V18" s="16">
        <f>T18*(1+V$4)</f>
        <v>112569.35431624136</v>
      </c>
      <c r="W18" s="253">
        <f t="shared" si="14"/>
        <v>2.7460134556849623E-2</v>
      </c>
      <c r="Y18" s="900"/>
      <c r="AB18" s="748" t="str">
        <f>About!B14</f>
        <v>No Refinance in Year 3 or 4</v>
      </c>
      <c r="AC18" s="748" t="str">
        <f>About!C14</f>
        <v>Yes</v>
      </c>
    </row>
    <row r="19" spans="1:29" outlineLevel="1" x14ac:dyDescent="0.2">
      <c r="A19" s="189"/>
      <c r="B19" s="17" t="s">
        <v>131</v>
      </c>
      <c r="C19" s="18"/>
      <c r="D19" s="19">
        <f>CHOOSE(Summary!$D$3,Scenarios!C31,Scenarios!F31,Scenarios!I31,Scenarios!L31,Scenarios!O31,Scenarios!R31,Scenarios!U31,Scenarios!X31)</f>
        <v>10702</v>
      </c>
      <c r="E19" s="53">
        <f t="shared" si="1"/>
        <v>3.3803927279909482E-3</v>
      </c>
      <c r="F19" s="16">
        <f t="shared" si="2"/>
        <v>10916.04</v>
      </c>
      <c r="G19" s="53">
        <f t="shared" si="4"/>
        <v>3.3732257117174247E-3</v>
      </c>
      <c r="H19" s="16">
        <f>F19*(1+H$4)</f>
        <v>11134.3608</v>
      </c>
      <c r="I19" s="53">
        <f t="shared" si="6"/>
        <v>3.3404759475259929E-3</v>
      </c>
      <c r="J19" s="16">
        <f>H19*(1+J$4)</f>
        <v>11357.048016000001</v>
      </c>
      <c r="K19" s="53">
        <f t="shared" si="7"/>
        <v>3.3080441422102067E-3</v>
      </c>
      <c r="L19" s="16">
        <f>J19*(1+L$4)</f>
        <v>11584.188976320002</v>
      </c>
      <c r="M19" s="53">
        <f t="shared" si="9"/>
        <v>3.275927208790691E-3</v>
      </c>
      <c r="N19" s="16">
        <f>L19*(1+N$4)</f>
        <v>11815.872755846402</v>
      </c>
      <c r="O19" s="53">
        <f t="shared" si="10"/>
        <v>3.2441220902587426E-3</v>
      </c>
      <c r="P19" s="16">
        <f>N19*(1+P$4)</f>
        <v>12052.19021096333</v>
      </c>
      <c r="Q19" s="53">
        <f t="shared" si="11"/>
        <v>3.2126257592853566E-3</v>
      </c>
      <c r="R19" s="16">
        <f>P19*(1+R$4)</f>
        <v>12293.234015182597</v>
      </c>
      <c r="S19" s="53">
        <f t="shared" si="12"/>
        <v>3.1814352179330716E-3</v>
      </c>
      <c r="T19" s="16">
        <f>R19*(1+T$4)</f>
        <v>12539.098695486249</v>
      </c>
      <c r="U19" s="53">
        <f t="shared" si="13"/>
        <v>3.1505474973706135E-3</v>
      </c>
      <c r="V19" s="16">
        <f>T19*(1+V$4)</f>
        <v>12789.880669395974</v>
      </c>
      <c r="W19" s="253">
        <f t="shared" si="14"/>
        <v>3.1199596575903162E-3</v>
      </c>
    </row>
    <row r="20" spans="1:29" outlineLevel="1" x14ac:dyDescent="0.2">
      <c r="A20" s="189"/>
      <c r="B20" s="17" t="s">
        <v>98</v>
      </c>
      <c r="C20" s="18"/>
      <c r="D20" s="19">
        <f>CHOOSE(Summary!$D$3,Scenarios!C32,Scenarios!F32,Scenarios!I32,Scenarios!L32,Scenarios!O32,Scenarios!R32,Scenarios!U32,Scenarios!X32)</f>
        <v>86900</v>
      </c>
      <c r="E20" s="53">
        <f t="shared" si="1"/>
        <v>2.7448713143563203E-2</v>
      </c>
      <c r="F20" s="16">
        <f t="shared" si="2"/>
        <v>88638</v>
      </c>
      <c r="G20" s="53">
        <f t="shared" si="4"/>
        <v>2.7390517132147654E-2</v>
      </c>
      <c r="H20" s="16">
        <f t="shared" si="5"/>
        <v>90410.76</v>
      </c>
      <c r="I20" s="53">
        <f t="shared" si="6"/>
        <v>2.71245897813501E-2</v>
      </c>
      <c r="J20" s="16">
        <f t="shared" si="3"/>
        <v>92218.975200000001</v>
      </c>
      <c r="K20" s="53">
        <f t="shared" si="7"/>
        <v>2.6861244249492332E-2</v>
      </c>
      <c r="L20" s="16">
        <f t="shared" si="8"/>
        <v>94063.354703999998</v>
      </c>
      <c r="M20" s="53">
        <f t="shared" si="9"/>
        <v>2.6600455470371053E-2</v>
      </c>
      <c r="N20" s="16">
        <f t="shared" ref="N20:N28" si="15">L20*(1+N$4)</f>
        <v>95944.621798079999</v>
      </c>
      <c r="O20" s="53">
        <f t="shared" si="10"/>
        <v>2.6342198621144147E-2</v>
      </c>
      <c r="P20" s="16">
        <f t="shared" ref="P20:P28" si="16">N20*(1+P$4)</f>
        <v>97863.514234041606</v>
      </c>
      <c r="Q20" s="53">
        <f t="shared" si="11"/>
        <v>2.6086449119967992E-2</v>
      </c>
      <c r="R20" s="16">
        <f t="shared" ref="R20:R28" si="17">P20*(1+R$4)</f>
        <v>99820.784518722445</v>
      </c>
      <c r="S20" s="53">
        <f t="shared" si="12"/>
        <v>2.5833182623657625E-2</v>
      </c>
      <c r="T20" s="16">
        <f t="shared" ref="T20:T28" si="18">R20*(1+T$4)</f>
        <v>101817.20020909689</v>
      </c>
      <c r="U20" s="53">
        <f t="shared" si="13"/>
        <v>2.558237502536968E-2</v>
      </c>
      <c r="V20" s="16">
        <f t="shared" ref="V20:V28" si="19">T20*(1+V$4)</f>
        <v>103853.54421327883</v>
      </c>
      <c r="W20" s="253">
        <f t="shared" si="14"/>
        <v>2.5334002452307835E-2</v>
      </c>
    </row>
    <row r="21" spans="1:29" outlineLevel="1" x14ac:dyDescent="0.2">
      <c r="A21" s="189"/>
      <c r="B21" s="17" t="s">
        <v>99</v>
      </c>
      <c r="C21" s="18"/>
      <c r="D21" s="19">
        <f>CHOOSE(Summary!$D$3,Scenarios!C33,Scenarios!F33,Scenarios!I33,Scenarios!L33,Scenarios!O33,Scenarios!R33,Scenarios!U33,Scenarios!X33)</f>
        <v>2338</v>
      </c>
      <c r="E21" s="53">
        <f t="shared" si="1"/>
        <v>7.3849357111220679E-4</v>
      </c>
      <c r="F21" s="16">
        <f t="shared" si="2"/>
        <v>2384.7600000000002</v>
      </c>
      <c r="G21" s="53">
        <f t="shared" si="4"/>
        <v>7.3692783722625107E-4</v>
      </c>
      <c r="H21" s="16">
        <f>F21*(1+H$4)</f>
        <v>2432.4552000000003</v>
      </c>
      <c r="I21" s="53">
        <f t="shared" si="6"/>
        <v>7.2977319802987968E-4</v>
      </c>
      <c r="J21" s="16">
        <f>H21*(1+J$4)</f>
        <v>2481.1043040000004</v>
      </c>
      <c r="K21" s="53">
        <f t="shared" si="7"/>
        <v>7.2268802134997797E-4</v>
      </c>
      <c r="L21" s="16">
        <f>J21*(1+L$4)</f>
        <v>2530.7263900800003</v>
      </c>
      <c r="M21" s="53">
        <f t="shared" si="9"/>
        <v>7.1567163279318219E-4</v>
      </c>
      <c r="N21" s="16">
        <f>L21*(1+N$4)</f>
        <v>2581.3409178816005</v>
      </c>
      <c r="O21" s="53">
        <f t="shared" si="10"/>
        <v>7.0872336451363669E-4</v>
      </c>
      <c r="P21" s="16">
        <f>N21*(1+P$4)</f>
        <v>2632.9677362392326</v>
      </c>
      <c r="Q21" s="53">
        <f t="shared" si="11"/>
        <v>7.0184255514942658E-4</v>
      </c>
      <c r="R21" s="16">
        <f>P21*(1+R$4)</f>
        <v>2685.6270909640175</v>
      </c>
      <c r="S21" s="53">
        <f t="shared" si="12"/>
        <v>6.9502854975962648E-4</v>
      </c>
      <c r="T21" s="16">
        <f>R21*(1+T$4)</f>
        <v>2739.3396327832979</v>
      </c>
      <c r="U21" s="53">
        <f t="shared" si="13"/>
        <v>6.8828069976195996E-4</v>
      </c>
      <c r="V21" s="16">
        <f>T21*(1+V$4)</f>
        <v>2794.1264254389639</v>
      </c>
      <c r="W21" s="253">
        <f t="shared" si="14"/>
        <v>6.8159836287106713E-4</v>
      </c>
    </row>
    <row r="22" spans="1:29" outlineLevel="1" x14ac:dyDescent="0.2">
      <c r="A22" s="189"/>
      <c r="B22" s="17" t="s">
        <v>132</v>
      </c>
      <c r="C22" s="18"/>
      <c r="D22" s="19">
        <f>CHOOSE(Summary!$D$3,Scenarios!C34,Scenarios!F34,Scenarios!I34,Scenarios!L34,Scenarios!O34,Scenarios!R34,Scenarios!U34,Scenarios!X34)</f>
        <v>177443</v>
      </c>
      <c r="E22" s="53">
        <f t="shared" si="1"/>
        <v>5.6048124353662659E-2</v>
      </c>
      <c r="F22" s="16">
        <f t="shared" si="2"/>
        <v>180991.86000000002</v>
      </c>
      <c r="G22" s="53">
        <f t="shared" si="4"/>
        <v>5.5929292652240239E-2</v>
      </c>
      <c r="H22" s="16">
        <f>F22*(1+H$4)</f>
        <v>184611.69720000002</v>
      </c>
      <c r="I22" s="53">
        <f t="shared" si="6"/>
        <v>5.5386289810956349E-2</v>
      </c>
      <c r="J22" s="16">
        <f>H22*(1+J$4)</f>
        <v>188303.93114400003</v>
      </c>
      <c r="K22" s="53">
        <f t="shared" si="7"/>
        <v>5.4848558841917937E-2</v>
      </c>
      <c r="L22" s="16">
        <f>J22*(1+L$4)</f>
        <v>192070.00976688004</v>
      </c>
      <c r="M22" s="53">
        <f t="shared" si="9"/>
        <v>5.4316048561899331E-2</v>
      </c>
      <c r="N22" s="16">
        <f>L22*(1+N$4)</f>
        <v>195911.40996221764</v>
      </c>
      <c r="O22" s="53">
        <f t="shared" si="10"/>
        <v>5.3788708284599335E-2</v>
      </c>
      <c r="P22" s="16">
        <f>N22*(1+P$4)</f>
        <v>199829.638161462</v>
      </c>
      <c r="Q22" s="53">
        <f t="shared" si="11"/>
        <v>5.3266487815816811E-2</v>
      </c>
      <c r="R22" s="16">
        <f>P22*(1+R$4)</f>
        <v>203826.23092469125</v>
      </c>
      <c r="S22" s="53">
        <f t="shared" si="12"/>
        <v>5.2749337448672967E-2</v>
      </c>
      <c r="T22" s="16">
        <f>R22*(1+T$4)</f>
        <v>207902.75554318508</v>
      </c>
      <c r="U22" s="53">
        <f t="shared" si="13"/>
        <v>5.2237207958880011E-2</v>
      </c>
      <c r="V22" s="16">
        <f>T22*(1+V$4)</f>
        <v>212060.81065404878</v>
      </c>
      <c r="W22" s="253">
        <f t="shared" si="14"/>
        <v>5.1730050600055928E-2</v>
      </c>
    </row>
    <row r="23" spans="1:29" outlineLevel="1" x14ac:dyDescent="0.2">
      <c r="A23" s="189"/>
      <c r="B23" s="17" t="s">
        <v>28</v>
      </c>
      <c r="C23" s="18"/>
      <c r="D23" s="19">
        <f>CHOOSE(Summary!$D$3,Scenarios!C35,Scenarios!F35,Scenarios!I35,Scenarios!L35,Scenarios!O35,Scenarios!R35,Scenarios!U35,Scenarios!X35)</f>
        <v>0</v>
      </c>
      <c r="E23" s="53">
        <f t="shared" si="1"/>
        <v>0</v>
      </c>
      <c r="F23" s="16">
        <f t="shared" ref="F23:F28" si="20">D23*(1+F$4)</f>
        <v>0</v>
      </c>
      <c r="G23" s="53">
        <f t="shared" si="4"/>
        <v>0</v>
      </c>
      <c r="H23" s="16">
        <f t="shared" si="5"/>
        <v>0</v>
      </c>
      <c r="I23" s="53">
        <f t="shared" si="6"/>
        <v>0</v>
      </c>
      <c r="J23" s="16">
        <f t="shared" si="3"/>
        <v>0</v>
      </c>
      <c r="K23" s="53">
        <f t="shared" si="7"/>
        <v>0</v>
      </c>
      <c r="L23" s="16">
        <f t="shared" si="8"/>
        <v>0</v>
      </c>
      <c r="M23" s="53">
        <f t="shared" si="9"/>
        <v>0</v>
      </c>
      <c r="N23" s="16">
        <f t="shared" si="15"/>
        <v>0</v>
      </c>
      <c r="O23" s="53">
        <f t="shared" si="10"/>
        <v>0</v>
      </c>
      <c r="P23" s="16">
        <f t="shared" si="16"/>
        <v>0</v>
      </c>
      <c r="Q23" s="53">
        <f t="shared" si="11"/>
        <v>0</v>
      </c>
      <c r="R23" s="16">
        <f t="shared" si="17"/>
        <v>0</v>
      </c>
      <c r="S23" s="53">
        <f t="shared" si="12"/>
        <v>0</v>
      </c>
      <c r="T23" s="16">
        <f t="shared" si="18"/>
        <v>0</v>
      </c>
      <c r="U23" s="53">
        <f t="shared" si="13"/>
        <v>0</v>
      </c>
      <c r="V23" s="16">
        <f t="shared" si="19"/>
        <v>0</v>
      </c>
      <c r="W23" s="253">
        <f t="shared" si="14"/>
        <v>0</v>
      </c>
    </row>
    <row r="24" spans="1:29" outlineLevel="1" x14ac:dyDescent="0.2">
      <c r="A24" s="189"/>
      <c r="B24" s="17" t="s">
        <v>97</v>
      </c>
      <c r="C24" s="29"/>
      <c r="D24" s="16">
        <f>E24*D13</f>
        <v>126636.1735</v>
      </c>
      <c r="E24" s="29">
        <f>CHOOSE(Summary!$D$3,Scenarios!E36,Scenarios!H36,Scenarios!K36,Scenarios!N36,Scenarios!Q36,Scenarios!T36,Scenarios!W36,Scenarios!Z36)</f>
        <v>0.04</v>
      </c>
      <c r="F24" s="16">
        <f>G24*F13</f>
        <v>129443.3392</v>
      </c>
      <c r="G24" s="29">
        <f>E24</f>
        <v>0.04</v>
      </c>
      <c r="H24" s="16">
        <f>I24*H13</f>
        <v>133326.63937600001</v>
      </c>
      <c r="I24" s="29">
        <f>G24</f>
        <v>0.04</v>
      </c>
      <c r="J24" s="16">
        <f>K24*J13</f>
        <v>137326.43855728002</v>
      </c>
      <c r="K24" s="29">
        <f>I24</f>
        <v>0.04</v>
      </c>
      <c r="L24" s="16">
        <f>M24*L13</f>
        <v>141446.23171399839</v>
      </c>
      <c r="M24" s="29">
        <f>K24</f>
        <v>0.04</v>
      </c>
      <c r="N24" s="16">
        <f>O24*N13</f>
        <v>145689.61866541835</v>
      </c>
      <c r="O24" s="29">
        <f>M24</f>
        <v>0.04</v>
      </c>
      <c r="P24" s="16">
        <f>Q24*P13</f>
        <v>150060.30722538091</v>
      </c>
      <c r="Q24" s="29">
        <f>O24</f>
        <v>0.04</v>
      </c>
      <c r="R24" s="16">
        <f>S24*R13</f>
        <v>154562.11644214235</v>
      </c>
      <c r="S24" s="29">
        <f>Q24</f>
        <v>0.04</v>
      </c>
      <c r="T24" s="16">
        <f>U24*T13</f>
        <v>159198.97993540665</v>
      </c>
      <c r="U24" s="29">
        <f>S24</f>
        <v>0.04</v>
      </c>
      <c r="V24" s="16">
        <f>W24*V13</f>
        <v>163974.94933346886</v>
      </c>
      <c r="W24" s="646">
        <f>U24</f>
        <v>0.04</v>
      </c>
    </row>
    <row r="25" spans="1:29" outlineLevel="1" x14ac:dyDescent="0.2">
      <c r="A25" s="151"/>
      <c r="B25" s="17" t="s">
        <v>30</v>
      </c>
      <c r="C25" s="18"/>
      <c r="D25" s="19">
        <f>CHOOSE(Summary!$D$3,Scenarios!C37,Scenarios!F37,Scenarios!I37,Scenarios!L37,Scenarios!O37,Scenarios!R37,Scenarios!U37,Scenarios!X37)</f>
        <v>205165</v>
      </c>
      <c r="E25" s="53">
        <f>IF(D25=0,0,D25/$D$13)</f>
        <v>6.480454812542169E-2</v>
      </c>
      <c r="F25" s="16">
        <f t="shared" si="20"/>
        <v>209268.30000000002</v>
      </c>
      <c r="G25" s="53">
        <f>IF(F25=0,0,F25/$F$13)</f>
        <v>6.4667151293637218E-2</v>
      </c>
      <c r="H25" s="16">
        <f t="shared" si="5"/>
        <v>213453.66600000003</v>
      </c>
      <c r="I25" s="53">
        <f>IF(H25=0,0,H25/$H$13)</f>
        <v>6.4039314873310632E-2</v>
      </c>
      <c r="J25" s="16">
        <f t="shared" si="3"/>
        <v>217722.73932000002</v>
      </c>
      <c r="K25" s="53">
        <f>IF(J25=0,0,J25/$J$13)</f>
        <v>6.3417573952210524E-2</v>
      </c>
      <c r="L25" s="16">
        <f t="shared" si="8"/>
        <v>222077.19410640001</v>
      </c>
      <c r="M25" s="53">
        <f>IF(L25=0,0,L25/$L$13)</f>
        <v>6.2801869350732772E-2</v>
      </c>
      <c r="N25" s="16">
        <f t="shared" si="15"/>
        <v>226518.73798852801</v>
      </c>
      <c r="O25" s="53">
        <f>IF(N25=0,0,N25/$N$13)</f>
        <v>6.2192142463832444E-2</v>
      </c>
      <c r="P25" s="16">
        <f t="shared" si="16"/>
        <v>231049.11274829856</v>
      </c>
      <c r="Q25" s="53">
        <f>IF(P25=0,0,P25/$P$13)</f>
        <v>6.1588335255445714E-2</v>
      </c>
      <c r="R25" s="16">
        <f t="shared" si="17"/>
        <v>235670.09500326455</v>
      </c>
      <c r="S25" s="53">
        <f>IF(R25=0,0,R25/$R$13)</f>
        <v>6.0990390252965668E-2</v>
      </c>
      <c r="T25" s="16">
        <f t="shared" si="18"/>
        <v>240383.49690332985</v>
      </c>
      <c r="U25" s="53">
        <f>IF(T25=0,0,T25/$T$13)</f>
        <v>6.0398250541771809E-2</v>
      </c>
      <c r="V25" s="16">
        <f t="shared" si="19"/>
        <v>245191.16684139645</v>
      </c>
      <c r="W25" s="253">
        <f>IF(V25=0,0,V25/$V$13)</f>
        <v>5.9811859759812853E-2</v>
      </c>
    </row>
    <row r="26" spans="1:29" outlineLevel="1" x14ac:dyDescent="0.2">
      <c r="A26" s="151"/>
      <c r="B26" s="17" t="s">
        <v>37</v>
      </c>
      <c r="C26" s="18"/>
      <c r="D26" s="19">
        <f>CHOOSE(Summary!$D$3,Scenarios!C38,Scenarios!F38,Scenarios!I38,Scenarios!L38,Scenarios!O38,Scenarios!R38,Scenarios!U38,Scenarios!X38)</f>
        <v>137037</v>
      </c>
      <c r="E26" s="53">
        <f>IF(D26=0,0,D26/$D$13)</f>
        <v>4.3285262405690111E-2</v>
      </c>
      <c r="F26" s="16">
        <f t="shared" si="20"/>
        <v>139777.74</v>
      </c>
      <c r="G26" s="53">
        <f>IF(F26=0,0,F26/$F$13)</f>
        <v>4.3193490175352331E-2</v>
      </c>
      <c r="H26" s="16">
        <f t="shared" si="5"/>
        <v>142573.2948</v>
      </c>
      <c r="I26" s="53">
        <f>IF(H26=0,0,H26/$H$13)</f>
        <v>4.2774135901805226E-2</v>
      </c>
      <c r="J26" s="16">
        <f t="shared" si="3"/>
        <v>145424.76069600001</v>
      </c>
      <c r="K26" s="53">
        <f>IF(J26=0,0,J26/$J$13)</f>
        <v>4.235885302897216E-2</v>
      </c>
      <c r="L26" s="16">
        <f t="shared" si="8"/>
        <v>148333.25590992</v>
      </c>
      <c r="M26" s="53">
        <f>IF(L26=0,0,L26/$L$13)</f>
        <v>4.1947602028690884E-2</v>
      </c>
      <c r="N26" s="16">
        <f t="shared" si="15"/>
        <v>151299.92102811841</v>
      </c>
      <c r="O26" s="53">
        <f>IF(N26=0,0,N26/$N$13)</f>
        <v>4.1540343756567677E-2</v>
      </c>
      <c r="P26" s="16">
        <f t="shared" si="16"/>
        <v>154325.91944868077</v>
      </c>
      <c r="Q26" s="53">
        <f>IF(P26=0,0,P26/$P$13)</f>
        <v>4.1137039448251478E-2</v>
      </c>
      <c r="R26" s="16">
        <f t="shared" si="17"/>
        <v>157412.43783765438</v>
      </c>
      <c r="S26" s="53">
        <f>IF(R26=0,0,R26/$R$13)</f>
        <v>4.0737650715744179E-2</v>
      </c>
      <c r="T26" s="16">
        <f t="shared" si="18"/>
        <v>160560.68659440745</v>
      </c>
      <c r="U26" s="53">
        <f>IF(T26=0,0,T26/$T$13)</f>
        <v>4.0342139543746651E-2</v>
      </c>
      <c r="V26" s="16">
        <f t="shared" si="19"/>
        <v>163771.90032629561</v>
      </c>
      <c r="W26" s="253">
        <f>IF(V26=0,0,V26/$V$13)</f>
        <v>3.9950468286040368E-2</v>
      </c>
    </row>
    <row r="27" spans="1:29" outlineLevel="1" x14ac:dyDescent="0.2">
      <c r="A27" s="151"/>
      <c r="B27" s="17" t="s">
        <v>38</v>
      </c>
      <c r="C27" s="18"/>
      <c r="D27" s="19">
        <f>CHOOSE(Summary!$D$3,Scenarios!C39,Scenarios!F39,Scenarios!I39,Scenarios!L39,Scenarios!O39,Scenarios!R39,Scenarios!U39,Scenarios!X39)</f>
        <v>562500</v>
      </c>
      <c r="E27" s="53">
        <f>IF(D27=0,0,D27/$D$13)</f>
        <v>0.17767435147588378</v>
      </c>
      <c r="F27" s="16">
        <f t="shared" si="20"/>
        <v>573750</v>
      </c>
      <c r="G27" s="53">
        <f>IF(F27=0,0,F27/$F$13)</f>
        <v>0.17729765117184185</v>
      </c>
      <c r="H27" s="16">
        <f t="shared" si="5"/>
        <v>585225</v>
      </c>
      <c r="I27" s="53">
        <f>IF(H27=0,0,H27/$H$13)</f>
        <v>0.17557631475269772</v>
      </c>
      <c r="J27" s="16">
        <f t="shared" si="3"/>
        <v>596929.5</v>
      </c>
      <c r="K27" s="53">
        <f>IF(J27=0,0,J27/$J$13)</f>
        <v>0.17387169033762298</v>
      </c>
      <c r="L27" s="16">
        <f t="shared" si="8"/>
        <v>608868.09</v>
      </c>
      <c r="M27" s="53">
        <f>IF(L27=0,0,L27/$L$13)</f>
        <v>0.17218361567415094</v>
      </c>
      <c r="N27" s="16">
        <f t="shared" si="15"/>
        <v>621045.45179999992</v>
      </c>
      <c r="O27" s="53">
        <f>IF(N27=0,0,N27/$N$13)</f>
        <v>0.1705119300850815</v>
      </c>
      <c r="P27" s="16">
        <f t="shared" si="16"/>
        <v>633466.36083599995</v>
      </c>
      <c r="Q27" s="53">
        <f>IF(P27=0,0,P27/$P$13)</f>
        <v>0.16885647445318749</v>
      </c>
      <c r="R27" s="16">
        <f t="shared" si="17"/>
        <v>646135.68805271992</v>
      </c>
      <c r="S27" s="53">
        <f>IF(R27=0,0,R27/$R$13)</f>
        <v>0.16721709120606917</v>
      </c>
      <c r="T27" s="16">
        <f t="shared" si="18"/>
        <v>659058.40181377437</v>
      </c>
      <c r="U27" s="53">
        <f>IF(T27=0,0,T27/$T$13)</f>
        <v>0.16559362430115585</v>
      </c>
      <c r="V27" s="16">
        <f t="shared" si="19"/>
        <v>672239.56985004991</v>
      </c>
      <c r="W27" s="253">
        <f>IF(V27=0,0,V27/$V$13)</f>
        <v>0.16398591921085334</v>
      </c>
    </row>
    <row r="28" spans="1:29" outlineLevel="1" x14ac:dyDescent="0.2">
      <c r="A28" s="151"/>
      <c r="B28" s="17" t="s">
        <v>31</v>
      </c>
      <c r="C28" s="18"/>
      <c r="D28" s="19">
        <f>CHOOSE(Summary!$D$3,Scenarios!C40,Scenarios!F40,Scenarios!I40,Scenarios!L40,Scenarios!O40,Scenarios!R40,Scenarios!U40,Scenarios!X40)</f>
        <v>53773</v>
      </c>
      <c r="E28" s="53">
        <f>IF(D28=0,0,D28/$D$13)</f>
        <v>1.6985036270067019E-2</v>
      </c>
      <c r="F28" s="16">
        <f t="shared" si="20"/>
        <v>54848.46</v>
      </c>
      <c r="G28" s="53">
        <f>IF(F28=0,0,F28/$F$13)</f>
        <v>1.6949025060379468E-2</v>
      </c>
      <c r="H28" s="16">
        <f t="shared" si="5"/>
        <v>55945.429199999999</v>
      </c>
      <c r="I28" s="53">
        <f>IF(H28=0,0,H28/$H$13)</f>
        <v>1.678447141901656E-2</v>
      </c>
      <c r="J28" s="16">
        <f t="shared" si="3"/>
        <v>57064.337784000003</v>
      </c>
      <c r="K28" s="53">
        <f>IF(J28=0,0,J28/$J$13)</f>
        <v>1.6621515385822225E-2</v>
      </c>
      <c r="L28" s="16">
        <f t="shared" si="8"/>
        <v>58205.62453968</v>
      </c>
      <c r="M28" s="53">
        <f>IF(L28=0,0,L28/$L$13)</f>
        <v>1.6460141450037543E-2</v>
      </c>
      <c r="N28" s="16">
        <f t="shared" si="15"/>
        <v>59369.737030473603</v>
      </c>
      <c r="O28" s="53">
        <f>IF(N28=0,0,N28/$N$13)</f>
        <v>1.6300334251493492E-2</v>
      </c>
      <c r="P28" s="16">
        <f t="shared" si="16"/>
        <v>60557.131771083077</v>
      </c>
      <c r="Q28" s="53">
        <f>IF(P28=0,0,P28/$P$13)</f>
        <v>1.6142078579148893E-2</v>
      </c>
      <c r="R28" s="16">
        <f t="shared" si="17"/>
        <v>61768.274406504737</v>
      </c>
      <c r="S28" s="53">
        <f>IF(R28=0,0,R28/$R$13)</f>
        <v>1.5985359369642592E-2</v>
      </c>
      <c r="T28" s="16">
        <f t="shared" si="18"/>
        <v>63003.639894634834</v>
      </c>
      <c r="U28" s="53">
        <f>IF(T28=0,0,T28/$T$13)</f>
        <v>1.5830161705859651E-2</v>
      </c>
      <c r="V28" s="16">
        <f t="shared" si="19"/>
        <v>64263.71269252753</v>
      </c>
      <c r="W28" s="253">
        <f>IF(V28=0,0,V28/$V$13)</f>
        <v>1.5676470815511497E-2</v>
      </c>
    </row>
    <row r="29" spans="1:29" outlineLevel="1" x14ac:dyDescent="0.2">
      <c r="A29" s="151"/>
      <c r="B29" s="17" t="s">
        <v>58</v>
      </c>
      <c r="C29" s="18"/>
      <c r="D29" s="19">
        <f>CHOOSE(Summary!$D$3,Scenarios!C41,Scenarios!F41,Scenarios!I41,Scenarios!L41,Scenarios!O41,Scenarios!R41,Scenarios!U41,Scenarios!X41)</f>
        <v>123000</v>
      </c>
      <c r="E29" s="53">
        <f>IF(D29=0,0,D29/$D$13)</f>
        <v>3.8851458189393256E-2</v>
      </c>
      <c r="F29" s="16">
        <f>D29</f>
        <v>123000</v>
      </c>
      <c r="G29" s="53">
        <f>IF(F29=0,0,F29/$F$13)</f>
        <v>3.8008908225074592E-2</v>
      </c>
      <c r="H29" s="16">
        <f>F29</f>
        <v>123000</v>
      </c>
      <c r="I29" s="53">
        <f>IF(H29=0,0,H29/$H$13)</f>
        <v>3.6901852645703483E-2</v>
      </c>
      <c r="J29" s="16">
        <f>H29</f>
        <v>123000</v>
      </c>
      <c r="K29" s="53">
        <f>IF(J29=0,0,J29/$J$13)</f>
        <v>3.5827041403595612E-2</v>
      </c>
      <c r="L29" s="16">
        <f>J29</f>
        <v>123000</v>
      </c>
      <c r="M29" s="53">
        <f>IF(L29=0,0,L29/$L$13)</f>
        <v>3.4783535343296715E-2</v>
      </c>
      <c r="N29" s="16">
        <f>L29</f>
        <v>123000</v>
      </c>
      <c r="O29" s="53">
        <f>IF(N29=0,0,N29/$N$13)</f>
        <v>3.3770422663394868E-2</v>
      </c>
      <c r="P29" s="16">
        <f>N29</f>
        <v>123000</v>
      </c>
      <c r="Q29" s="53">
        <f>IF(P29=0,0,P29/$P$13)</f>
        <v>3.2786818119800838E-2</v>
      </c>
      <c r="R29" s="16">
        <f>P29</f>
        <v>123000</v>
      </c>
      <c r="S29" s="53">
        <f>IF(R29=0,0,R29/$R$13)</f>
        <v>3.1831862252233827E-2</v>
      </c>
      <c r="T29" s="16">
        <f>R29</f>
        <v>123000</v>
      </c>
      <c r="U29" s="53">
        <f>IF(T29=0,0,T29/$T$13)</f>
        <v>3.0904720633236717E-2</v>
      </c>
      <c r="V29" s="16">
        <f>T29</f>
        <v>123000</v>
      </c>
      <c r="W29" s="253">
        <f>IF(V29=0,0,V29/$V$13)</f>
        <v>3.0004583139064771E-2</v>
      </c>
    </row>
    <row r="30" spans="1:29" ht="12" thickBot="1" x14ac:dyDescent="0.25">
      <c r="A30" s="151"/>
      <c r="B30" s="259" t="s">
        <v>57</v>
      </c>
      <c r="C30" s="260"/>
      <c r="D30" s="261">
        <f>IF(SUM(D16:D29)=0,Summary!D31,SUM(D16:D29))</f>
        <v>1769921.1735</v>
      </c>
      <c r="E30" s="262">
        <f>IF(D30=0,0,D30/D13)</f>
        <v>0.55905706073786254</v>
      </c>
      <c r="F30" s="261">
        <f>IF(SUM(F16:F29)=0,D30*(1+F4),SUM(F16:F29))</f>
        <v>1803134.0392</v>
      </c>
      <c r="G30" s="262">
        <f>IF(F30=0,0,F30/F13)</f>
        <v>0.55719639197935644</v>
      </c>
      <c r="H30" s="261">
        <f>IF(SUM(H16:H29)=0,F30*(1+H4),SUM(H16:H29))</f>
        <v>2007619.579776</v>
      </c>
      <c r="I30" s="262">
        <f>IF(H30=0,0,H30/H13)</f>
        <v>0.60231611302051291</v>
      </c>
      <c r="J30" s="261">
        <f>IF(SUM(J16:J29)=0,H30*(1+J4),SUM(J16:J29))</f>
        <v>2046645.2377652801</v>
      </c>
      <c r="K30" s="262">
        <f>IF(J30=0,0,J30/J13)</f>
        <v>0.59614019245437777</v>
      </c>
      <c r="L30" s="261">
        <f>IF(SUM(L16:L29)=0,J30*(1+L4),SUM(L16:L29))</f>
        <v>2240564.817834158</v>
      </c>
      <c r="M30" s="262">
        <f>IF(L30=0,0,L30/L13)</f>
        <v>0.63361597991936258</v>
      </c>
      <c r="N30" s="261">
        <f>IF(SUM(N16:N29)=0,L30*(1+N4),SUM(N16:N29))</f>
        <v>2284330.5765079814</v>
      </c>
      <c r="O30" s="262">
        <f>IF(N30=0,0,N30/N13)</f>
        <v>0.62717730952513007</v>
      </c>
      <c r="P30" s="261">
        <f>IF(SUM(P16:P29)=0,N30*(1+P4),SUM(P16:P29))</f>
        <v>2329014.0842247955</v>
      </c>
      <c r="Q30" s="262">
        <f>IF(P30=0,0,P30/P13)</f>
        <v>0.62082082258482019</v>
      </c>
      <c r="R30" s="261">
        <f>IF(SUM(R16:R29)=0,P30*(1+R4),SUM(R16:R29))</f>
        <v>2374634.9689815454</v>
      </c>
      <c r="S30" s="262">
        <f>IF(R30=0,0,R30/R13)</f>
        <v>0.61454514822730166</v>
      </c>
      <c r="T30" s="261">
        <f>IF(SUM(T16:T29)=0,R30*(1+T4),SUM(T16:T29))</f>
        <v>2421213.2895255978</v>
      </c>
      <c r="U30" s="262">
        <f>IF(T30=0,0,T30/T13)</f>
        <v>0.60834894557942021</v>
      </c>
      <c r="V30" s="261">
        <f>IF(SUM(V16:V29)=0,T30*(1+V4),SUM(V16:V29))</f>
        <v>2468769.5451154639</v>
      </c>
      <c r="W30" s="262">
        <f>IF(V30=0,0,V30/V13)</f>
        <v>0.60223090298868331</v>
      </c>
    </row>
    <row r="31" spans="1:29" ht="12" thickBot="1" x14ac:dyDescent="0.25">
      <c r="B31" s="647"/>
      <c r="C31" s="648"/>
      <c r="D31" s="922">
        <f>D30/492</f>
        <v>3597.4007591463414</v>
      </c>
      <c r="E31" s="649"/>
      <c r="F31" s="922">
        <f>F30/492</f>
        <v>3664.9065837398375</v>
      </c>
      <c r="G31" s="650"/>
      <c r="H31" s="922">
        <f>H30/492</f>
        <v>4080.5276011707315</v>
      </c>
      <c r="I31" s="650"/>
      <c r="J31" s="922">
        <f>J30/492</f>
        <v>4159.8480442383743</v>
      </c>
      <c r="K31" s="650"/>
      <c r="L31" s="922">
        <f>L30/492</f>
        <v>4553.9935321832481</v>
      </c>
      <c r="M31" s="650"/>
      <c r="N31" s="922">
        <f>N30/492</f>
        <v>4642.9483262357344</v>
      </c>
      <c r="O31" s="650"/>
      <c r="P31" s="922">
        <f>P30/492</f>
        <v>4733.7684638715355</v>
      </c>
      <c r="Q31" s="650"/>
      <c r="R31" s="922">
        <f>R30/492</f>
        <v>4826.4938393933853</v>
      </c>
      <c r="S31" s="650"/>
      <c r="T31" s="922">
        <f>T30/492</f>
        <v>4921.1652226130036</v>
      </c>
      <c r="U31" s="650"/>
      <c r="V31" s="922">
        <f>V30/492</f>
        <v>5017.8242786899673</v>
      </c>
      <c r="W31" s="651"/>
    </row>
    <row r="32" spans="1:29" ht="12" thickBot="1" x14ac:dyDescent="0.25">
      <c r="B32" s="30" t="s">
        <v>32</v>
      </c>
      <c r="C32" s="31"/>
      <c r="D32" s="32">
        <f>D13-D30</f>
        <v>1395983.1639999999</v>
      </c>
      <c r="E32" s="32"/>
      <c r="F32" s="32">
        <f>F13-F30</f>
        <v>1432949.4408</v>
      </c>
      <c r="G32" s="32"/>
      <c r="H32" s="32">
        <f>H13-H30</f>
        <v>1325546.4046240004</v>
      </c>
      <c r="I32" s="32"/>
      <c r="J32" s="32">
        <f>J13-J30</f>
        <v>1386515.7261667205</v>
      </c>
      <c r="K32" s="32"/>
      <c r="L32" s="32">
        <f>L13-L30</f>
        <v>1295590.9750158018</v>
      </c>
      <c r="M32" s="32"/>
      <c r="N32" s="32">
        <f>N13-N30</f>
        <v>1357909.8901274772</v>
      </c>
      <c r="O32" s="32"/>
      <c r="P32" s="32">
        <f>P13-P30</f>
        <v>1422493.5964097274</v>
      </c>
      <c r="Q32" s="32"/>
      <c r="R32" s="32">
        <f>R13-R30</f>
        <v>1489417.9420720129</v>
      </c>
      <c r="S32" s="32"/>
      <c r="T32" s="32">
        <f>T13-T30</f>
        <v>1558761.2088595685</v>
      </c>
      <c r="U32" s="32"/>
      <c r="V32" s="32">
        <f>V13-V30</f>
        <v>1630604.1882212576</v>
      </c>
      <c r="W32" s="263"/>
    </row>
    <row r="33" spans="2:23" x14ac:dyDescent="0.2">
      <c r="B33" s="242"/>
      <c r="C33" s="243"/>
      <c r="D33" s="244"/>
      <c r="E33" s="244"/>
      <c r="F33" s="245"/>
      <c r="G33" s="245"/>
      <c r="H33" s="245"/>
      <c r="I33" s="245"/>
      <c r="J33" s="245"/>
      <c r="K33" s="245"/>
      <c r="L33" s="245"/>
      <c r="M33" s="245"/>
      <c r="N33" s="245"/>
      <c r="O33" s="245"/>
      <c r="P33" s="245"/>
      <c r="Q33" s="245"/>
      <c r="R33" s="245"/>
      <c r="S33" s="245"/>
      <c r="T33" s="245"/>
      <c r="U33" s="245"/>
      <c r="V33" s="245"/>
      <c r="W33" s="246"/>
    </row>
    <row r="34" spans="2:23" x14ac:dyDescent="0.2">
      <c r="B34" s="13" t="s">
        <v>15</v>
      </c>
      <c r="C34" s="14"/>
      <c r="D34" s="33"/>
      <c r="E34" s="19"/>
      <c r="F34" s="33"/>
      <c r="G34" s="16"/>
      <c r="H34" s="33"/>
      <c r="I34" s="16"/>
      <c r="J34" s="33"/>
      <c r="K34" s="16"/>
      <c r="L34" s="33"/>
      <c r="M34" s="16"/>
      <c r="N34" s="33"/>
      <c r="O34" s="16"/>
      <c r="P34" s="33"/>
      <c r="Q34" s="16"/>
      <c r="R34" s="33"/>
      <c r="S34" s="16"/>
      <c r="T34" s="33"/>
      <c r="U34" s="16"/>
      <c r="V34" s="33"/>
      <c r="W34" s="247"/>
    </row>
    <row r="35" spans="2:23" x14ac:dyDescent="0.2">
      <c r="B35" s="17" t="s">
        <v>8</v>
      </c>
      <c r="C35" s="18"/>
      <c r="D35" s="34">
        <f ca="1">OFFSET(Loans!$C$30,0,(D6-1)*1)</f>
        <v>0</v>
      </c>
      <c r="E35" s="35"/>
      <c r="F35" s="34">
        <f ca="1">OFFSET(Loans!$C$30,0,(F6-1)*1)</f>
        <v>0</v>
      </c>
      <c r="G35" s="36"/>
      <c r="H35" s="34">
        <f ca="1">OFFSET(Loans!$C$30,0,(H6-1)*1)</f>
        <v>0</v>
      </c>
      <c r="I35" s="36"/>
      <c r="J35" s="34">
        <f ca="1">OFFSET(Loans!$C$30,0,(J6-1)*1)</f>
        <v>252756.76764925971</v>
      </c>
      <c r="K35" s="36"/>
      <c r="L35" s="34">
        <f ca="1">OFFSET(Loans!$C$30,0,(L6-1)*1)</f>
        <v>265027.57323974156</v>
      </c>
      <c r="M35" s="36"/>
      <c r="N35" s="34">
        <f ca="1">OFFSET(Loans!$C$30,0,(N6-1)*1)</f>
        <v>277894.10044527554</v>
      </c>
      <c r="O35" s="36"/>
      <c r="P35" s="34">
        <f ca="1">OFFSET(Loans!$C$30,0,(P6-1)*1)</f>
        <v>291385.27028820373</v>
      </c>
      <c r="Q35" s="36"/>
      <c r="R35" s="34">
        <f ca="1">OFFSET(Loans!$C$30,0,(R6-1)*1)</f>
        <v>305531.40784523287</v>
      </c>
      <c r="S35" s="36"/>
      <c r="T35" s="34">
        <f ca="1">OFFSET(Loans!$C$30,0,(T6-1)*1)</f>
        <v>320364.31041129748</v>
      </c>
      <c r="U35" s="36"/>
      <c r="V35" s="34">
        <f ca="1">OFFSET(Loans!$C$30,0,(V6-1)*1)</f>
        <v>335917.31897263904</v>
      </c>
      <c r="W35" s="248"/>
    </row>
    <row r="36" spans="2:23" x14ac:dyDescent="0.2">
      <c r="B36" s="17" t="s">
        <v>19</v>
      </c>
      <c r="C36" s="18"/>
      <c r="D36" s="34">
        <f ca="1">OFFSET(Loans!$C$28,0,(D6-1)*1)</f>
        <v>642123.85749999993</v>
      </c>
      <c r="E36" s="35"/>
      <c r="F36" s="34">
        <f ca="1">OFFSET(Loans!$C$28,0,(F6-1)*1)</f>
        <v>642123.85749999993</v>
      </c>
      <c r="G36" s="36"/>
      <c r="H36" s="34">
        <f ca="1">OFFSET(Loans!$C$28,0,(H6-1)*1)</f>
        <v>642123.85750000086</v>
      </c>
      <c r="I36" s="36"/>
      <c r="J36" s="34">
        <f ca="1">OFFSET(Loans!$C$28,0,(J6-1)*1)</f>
        <v>636668.23061673436</v>
      </c>
      <c r="K36" s="36"/>
      <c r="L36" s="34">
        <f ca="1">OFFSET(Loans!$C$28,0,(L6-1)*1)</f>
        <v>624397.42502625193</v>
      </c>
      <c r="M36" s="36"/>
      <c r="N36" s="34">
        <f ca="1">OFFSET(Loans!$C$28,0,(N6-1)*1)</f>
        <v>611530.89782071859</v>
      </c>
      <c r="O36" s="36"/>
      <c r="P36" s="34">
        <f ca="1">OFFSET(Loans!$C$28,0,(P6-1)*1)</f>
        <v>598039.72797778901</v>
      </c>
      <c r="Q36" s="36"/>
      <c r="R36" s="34">
        <f ca="1">OFFSET(Loans!$C$28,0,(R6-1)*1)</f>
        <v>583893.59042076208</v>
      </c>
      <c r="S36" s="36"/>
      <c r="T36" s="34">
        <f ca="1">OFFSET(Loans!$C$28,0,(T6-1)*1)</f>
        <v>569060.6878546942</v>
      </c>
      <c r="U36" s="36"/>
      <c r="V36" s="34">
        <f ca="1">OFFSET(Loans!$C$28,0,(V6-1)*1)</f>
        <v>553507.6792933559</v>
      </c>
      <c r="W36" s="248"/>
    </row>
    <row r="37" spans="2:23" x14ac:dyDescent="0.2">
      <c r="B37" s="37" t="s">
        <v>51</v>
      </c>
      <c r="C37" s="38"/>
      <c r="D37" s="39">
        <f ca="1">SUM(D35:D36)</f>
        <v>642123.85749999993</v>
      </c>
      <c r="E37" s="40"/>
      <c r="F37" s="39">
        <f ca="1">SUM(F35:F36)</f>
        <v>642123.85749999993</v>
      </c>
      <c r="G37" s="41"/>
      <c r="H37" s="39">
        <f ca="1">SUM(H35:H36)</f>
        <v>642123.85750000086</v>
      </c>
      <c r="I37" s="41"/>
      <c r="J37" s="39">
        <f ca="1">SUM(J35:J36)</f>
        <v>889424.99826599401</v>
      </c>
      <c r="K37" s="41"/>
      <c r="L37" s="39">
        <f ca="1">SUM(L35:L36)</f>
        <v>889424.99826599355</v>
      </c>
      <c r="M37" s="41"/>
      <c r="N37" s="39">
        <f ca="1">SUM(N35:N36)</f>
        <v>889424.99826599413</v>
      </c>
      <c r="O37" s="41"/>
      <c r="P37" s="39">
        <f ca="1">SUM(P35:P36)</f>
        <v>889424.99826599273</v>
      </c>
      <c r="Q37" s="41"/>
      <c r="R37" s="39">
        <f ca="1">SUM(R35:R36)</f>
        <v>889424.99826599495</v>
      </c>
      <c r="S37" s="41"/>
      <c r="T37" s="39">
        <f ca="1">SUM(T35:T36)</f>
        <v>889424.99826599169</v>
      </c>
      <c r="U37" s="41"/>
      <c r="V37" s="39">
        <f ca="1">SUM(V35:V36)</f>
        <v>889424.99826599495</v>
      </c>
      <c r="W37" s="249"/>
    </row>
    <row r="38" spans="2:23" x14ac:dyDescent="0.2">
      <c r="B38" s="42"/>
      <c r="C38" s="18"/>
      <c r="D38" s="35"/>
      <c r="E38" s="35"/>
      <c r="F38" s="36"/>
      <c r="G38" s="36"/>
      <c r="H38" s="36"/>
      <c r="I38" s="36"/>
      <c r="J38" s="36"/>
      <c r="K38" s="36"/>
      <c r="L38" s="36"/>
      <c r="M38" s="36"/>
      <c r="N38" s="36"/>
      <c r="O38" s="36"/>
      <c r="P38" s="36"/>
      <c r="Q38" s="36"/>
      <c r="R38" s="36"/>
      <c r="S38" s="36"/>
      <c r="T38" s="36"/>
      <c r="U38" s="36"/>
      <c r="V38" s="36"/>
      <c r="W38" s="248"/>
    </row>
    <row r="39" spans="2:23" ht="12" thickBot="1" x14ac:dyDescent="0.25">
      <c r="B39" s="26" t="s">
        <v>52</v>
      </c>
      <c r="C39" s="27"/>
      <c r="D39" s="28">
        <f ca="1">D32-D37</f>
        <v>753859.30649999995</v>
      </c>
      <c r="E39" s="54"/>
      <c r="F39" s="28">
        <f ca="1">F32-F37</f>
        <v>790825.58330000006</v>
      </c>
      <c r="G39" s="54"/>
      <c r="H39" s="28">
        <f ca="1">H32-H37</f>
        <v>683422.54712399957</v>
      </c>
      <c r="I39" s="54"/>
      <c r="J39" s="28">
        <f ca="1">J32-J37</f>
        <v>497090.72790072649</v>
      </c>
      <c r="K39" s="54"/>
      <c r="L39" s="28">
        <f ca="1">L32-L37</f>
        <v>406165.97674980829</v>
      </c>
      <c r="M39" s="54"/>
      <c r="N39" s="28">
        <f ca="1">N32-N37</f>
        <v>468484.89186148311</v>
      </c>
      <c r="O39" s="54"/>
      <c r="P39" s="28">
        <f ca="1">P32-P37</f>
        <v>533068.59814373462</v>
      </c>
      <c r="Q39" s="54"/>
      <c r="R39" s="28">
        <f ca="1">R32-R37</f>
        <v>599992.94380601798</v>
      </c>
      <c r="S39" s="54"/>
      <c r="T39" s="28">
        <f ca="1">T32-T37</f>
        <v>669336.21059357678</v>
      </c>
      <c r="U39" s="54"/>
      <c r="V39" s="28">
        <f ca="1">V32-V37</f>
        <v>741179.1899552627</v>
      </c>
      <c r="W39" s="250"/>
    </row>
    <row r="40" spans="2:23" ht="12" thickTop="1" x14ac:dyDescent="0.2">
      <c r="B40" s="42"/>
      <c r="C40" s="18"/>
      <c r="D40" s="35"/>
      <c r="E40" s="35"/>
      <c r="F40" s="36"/>
      <c r="G40" s="36"/>
      <c r="H40" s="36"/>
      <c r="I40" s="36"/>
      <c r="J40" s="36"/>
      <c r="K40" s="36"/>
      <c r="L40" s="36"/>
      <c r="M40" s="36"/>
      <c r="N40" s="36"/>
      <c r="O40" s="36"/>
      <c r="P40" s="36"/>
      <c r="Q40" s="36"/>
      <c r="R40" s="36"/>
      <c r="S40" s="36"/>
      <c r="T40" s="36"/>
      <c r="U40" s="36"/>
      <c r="V40" s="36"/>
      <c r="W40" s="248"/>
    </row>
    <row r="41" spans="2:23" x14ac:dyDescent="0.2">
      <c r="B41" s="42" t="s">
        <v>53</v>
      </c>
      <c r="C41" s="18"/>
      <c r="D41" s="16"/>
      <c r="E41" s="16"/>
      <c r="F41" s="16"/>
      <c r="G41" s="16"/>
      <c r="H41" s="16"/>
      <c r="I41" s="16"/>
      <c r="J41" s="16"/>
      <c r="K41" s="16"/>
      <c r="L41" s="16"/>
      <c r="M41" s="16"/>
      <c r="N41" s="16"/>
      <c r="O41" s="16"/>
      <c r="P41" s="16"/>
      <c r="Q41" s="16"/>
      <c r="R41" s="16"/>
      <c r="S41" s="16"/>
      <c r="T41" s="16"/>
      <c r="U41" s="16"/>
      <c r="V41" s="16"/>
      <c r="W41" s="247"/>
    </row>
    <row r="42" spans="2:23" collapsed="1" x14ac:dyDescent="0.2">
      <c r="B42" s="43" t="s">
        <v>54</v>
      </c>
      <c r="C42" s="711">
        <f>Summary!D44</f>
        <v>1.4999999999999999E-2</v>
      </c>
      <c r="D42" s="16">
        <f ca="1">IF($C$42*D$13&lt;D$39,$C$42*D$13,0)</f>
        <v>47488.565062499998</v>
      </c>
      <c r="E42" s="16"/>
      <c r="F42" s="16">
        <f ca="1">IF($C$42*F$13&lt;F$39,$C$42*F$13,0)</f>
        <v>48541.252199999995</v>
      </c>
      <c r="G42" s="16"/>
      <c r="H42" s="16">
        <f ca="1">IF($C$42*H$13&lt;H$39,$C$42*H$13,0)</f>
        <v>49997.489766000006</v>
      </c>
      <c r="I42" s="16"/>
      <c r="J42" s="16">
        <f ca="1">IF($C$42*J$13&lt;J$39,$C$42*J$13,0)</f>
        <v>51497.414458980005</v>
      </c>
      <c r="K42" s="16"/>
      <c r="L42" s="16">
        <f ca="1">IF($C$42*L$13&lt;L$39,$C$42*L$13,0)</f>
        <v>53042.336892749394</v>
      </c>
      <c r="M42" s="16"/>
      <c r="N42" s="16">
        <f ca="1">IF($C$42*N$13&lt;N$39,$C$42*N$13,0)</f>
        <v>54633.606999531876</v>
      </c>
      <c r="O42" s="16"/>
      <c r="P42" s="16">
        <f ca="1">IF($C$42*P$13&lt;P$39,$C$42*P$13,0)</f>
        <v>56272.61520951784</v>
      </c>
      <c r="Q42" s="16"/>
      <c r="R42" s="16">
        <f ca="1">IF($C$42*R$13&lt;R$39,$C$42*R$13,0)</f>
        <v>57960.793665803372</v>
      </c>
      <c r="S42" s="16"/>
      <c r="T42" s="16">
        <f ca="1">IF($C$42*T$13&lt;T$39,$C$42*T$13,0)</f>
        <v>59699.617475777493</v>
      </c>
      <c r="U42" s="16"/>
      <c r="V42" s="16">
        <f ca="1">IF($C$42*V$13&lt;V$39,$C$42*V$13,0)</f>
        <v>61490.606000050822</v>
      </c>
      <c r="W42" s="247"/>
    </row>
    <row r="43" spans="2:23" hidden="1" outlineLevel="1" x14ac:dyDescent="0.2">
      <c r="B43" s="45" t="s">
        <v>212</v>
      </c>
      <c r="C43" s="443"/>
      <c r="D43" s="34">
        <f>D$50*$C$45</f>
        <v>295776.87903999997</v>
      </c>
      <c r="E43" s="444"/>
      <c r="F43" s="34">
        <f ca="1">F$50*$C$45+D$44</f>
        <v>295776.87903999997</v>
      </c>
      <c r="G43" s="34"/>
      <c r="H43" s="34">
        <f ca="1">H$50*$C$45+F$44</f>
        <v>295776.87903999997</v>
      </c>
      <c r="I43" s="34"/>
      <c r="J43" s="34">
        <f ca="1">J$50*$C$45+H$44</f>
        <v>295776.87903999997</v>
      </c>
      <c r="K43" s="34"/>
      <c r="L43" s="34">
        <f ca="1">L$50*$C$45+J$44</f>
        <v>295776.87903999997</v>
      </c>
      <c r="M43" s="34"/>
      <c r="N43" s="34">
        <f ca="1">N$50*$C$45+L$44</f>
        <v>295776.87903999997</v>
      </c>
      <c r="O43" s="34"/>
      <c r="P43" s="34">
        <f ca="1">P$50*$C$45+N$44</f>
        <v>295776.87903999997</v>
      </c>
      <c r="Q43" s="34"/>
      <c r="R43" s="34">
        <f ca="1">R$50*$C$45+P$44</f>
        <v>295776.87903999997</v>
      </c>
      <c r="S43" s="34"/>
      <c r="T43" s="34">
        <f ca="1">T$50*$C$45+R$44</f>
        <v>295776.87903999997</v>
      </c>
      <c r="U43" s="34"/>
      <c r="V43" s="34">
        <f ca="1">V$50*$C$45+T$44</f>
        <v>295776.87903999997</v>
      </c>
      <c r="W43" s="7"/>
    </row>
    <row r="44" spans="2:23" hidden="1" outlineLevel="1" x14ac:dyDescent="0.2">
      <c r="B44" s="45" t="s">
        <v>213</v>
      </c>
      <c r="C44" s="5"/>
      <c r="D44" s="34">
        <f ca="1">IF(D$43 &gt;0,D$43-D$45,0)</f>
        <v>0</v>
      </c>
      <c r="E44" s="34"/>
      <c r="F44" s="34">
        <f ca="1">IF(F$43 &gt;0,F$43-F$45,0)</f>
        <v>0</v>
      </c>
      <c r="G44" s="34"/>
      <c r="H44" s="34">
        <f ca="1">IF(H$43 &gt;0,H$43-H$45,0)</f>
        <v>0</v>
      </c>
      <c r="I44" s="34"/>
      <c r="J44" s="34">
        <f ca="1">IF(J$43 &gt;0,J$43-J$45,0)</f>
        <v>0</v>
      </c>
      <c r="K44" s="34"/>
      <c r="L44" s="34">
        <f ca="1">IF(L$43 &gt;0,L$43-L$45,0)</f>
        <v>0</v>
      </c>
      <c r="M44" s="34"/>
      <c r="N44" s="34">
        <f ca="1">IF(N$43 &gt;0,N$43-N$45,0)</f>
        <v>0</v>
      </c>
      <c r="O44" s="34"/>
      <c r="P44" s="34">
        <f ca="1">IF(P$43 &gt;0,P$43-P$45,0)</f>
        <v>0</v>
      </c>
      <c r="Q44" s="34"/>
      <c r="R44" s="34">
        <f ca="1">IF(R$43 &gt;0,R$43-R$45,0)</f>
        <v>0</v>
      </c>
      <c r="S44" s="34"/>
      <c r="T44" s="34">
        <f ca="1">IF(T$43 &gt;0,T$43-T$45,0)</f>
        <v>0</v>
      </c>
      <c r="U44" s="34"/>
      <c r="V44" s="34">
        <f ca="1">IF(V$43 &gt;0,V$43-V$45,0)</f>
        <v>0</v>
      </c>
      <c r="W44" s="7"/>
    </row>
    <row r="45" spans="2:23" x14ac:dyDescent="0.2">
      <c r="B45" s="445" t="s">
        <v>211</v>
      </c>
      <c r="C45" s="44">
        <f>Summary!D43</f>
        <v>0.08</v>
      </c>
      <c r="D45" s="16">
        <f ca="1">IF(D$39&gt;0,IF(D$43+D$42&gt;D$39,D$39-D$42,D$43),0)</f>
        <v>295776.87903999997</v>
      </c>
      <c r="E45" s="16"/>
      <c r="F45" s="16">
        <f ca="1">IF(F$39&gt;0,IF(F$43+F$42&gt;F$39,F$39-F$42,F$43),0)</f>
        <v>295776.87903999997</v>
      </c>
      <c r="G45" s="16"/>
      <c r="H45" s="16">
        <f ca="1">IF(H$39&gt;0,IF(H$43+H$42&gt;H$39,H$39-H$42,H$43),0)</f>
        <v>295776.87903999997</v>
      </c>
      <c r="I45" s="16"/>
      <c r="J45" s="16">
        <f ca="1">IF(J$39&gt;0,IF(J$43+J$42&gt;J$39,J$39-J$42,J$43),0)</f>
        <v>295776.87903999997</v>
      </c>
      <c r="K45" s="16"/>
      <c r="L45" s="16">
        <f ca="1">IF(L$39&gt;0,IF(L$43+L$42&gt;L$39,L$39-L$42,L$43),0)</f>
        <v>295776.87903999997</v>
      </c>
      <c r="M45" s="16"/>
      <c r="N45" s="16">
        <f ca="1">IF(N$39&gt;0,IF(N$43+N$42&gt;N$39,N$39-N$42,N$43),0)</f>
        <v>295776.87903999997</v>
      </c>
      <c r="O45" s="16"/>
      <c r="P45" s="16">
        <f ca="1">IF(P$39&gt;0,IF(P$43+P$42&gt;P$39,P$39-P$42,P$43),0)</f>
        <v>295776.87903999997</v>
      </c>
      <c r="Q45" s="16"/>
      <c r="R45" s="16">
        <f ca="1">IF(R$39&gt;0,IF(R$43+R$42&gt;R$39,R$39-R$42,R$43),0)</f>
        <v>295776.87903999997</v>
      </c>
      <c r="S45" s="16"/>
      <c r="T45" s="16">
        <f ca="1">IF(T$39&gt;0,IF(T$43+T$42&gt;T$39,T$39-T$42,T$43),0)</f>
        <v>295776.87903999997</v>
      </c>
      <c r="U45" s="16"/>
      <c r="V45" s="16">
        <f ca="1">IF($C$45*V50&gt;V39,V39,$C$45*V50)</f>
        <v>295776.87903999997</v>
      </c>
      <c r="W45" s="247"/>
    </row>
    <row r="46" spans="2:23" ht="22.5" x14ac:dyDescent="0.2">
      <c r="B46" s="43" t="s">
        <v>55</v>
      </c>
      <c r="C46" s="44">
        <f>Summary!D41</f>
        <v>0.8</v>
      </c>
      <c r="D46" s="16">
        <f ca="1">IF((D$39-D$42-D$45)*$C$46&lt;0,0,(D$39-D$42-D$45)*$C$46)</f>
        <v>328475.08991800004</v>
      </c>
      <c r="E46" s="16"/>
      <c r="F46" s="16">
        <f ca="1">IF((F$39-F$42-F$45)*$C$46&lt;0,0,(F$39-F$42-F$45)*$C$46)</f>
        <v>357205.96164800011</v>
      </c>
      <c r="G46" s="16"/>
      <c r="H46" s="16">
        <f ca="1">IF((H$39-H$42-H$45)*$C$46&lt;0,0,(H$39-H$42-H$45)*$C$46)</f>
        <v>270118.5426543997</v>
      </c>
      <c r="I46" s="16"/>
      <c r="J46" s="16">
        <f ca="1">IF((J$39-J$42-J$45)*$C$46&lt;0,0,(J$39-J$42-J$45)*$C$46)</f>
        <v>119853.1475213972</v>
      </c>
      <c r="K46" s="16"/>
      <c r="L46" s="16">
        <f ca="1">IF((L$39-L$42-L$45)*$C$46&lt;0,0,(L$39-L$42-L$45)*$C$46)</f>
        <v>45877.40865364713</v>
      </c>
      <c r="M46" s="16"/>
      <c r="N46" s="16">
        <f ca="1">IF((N$39-N$42-N$45)*$C$46&lt;0,0,(N$39-N$42-N$45)*$C$46)</f>
        <v>94459.524657561036</v>
      </c>
      <c r="O46" s="16"/>
      <c r="P46" s="16">
        <f ca="1">IF((P$39-P$42-P$45)*$C$46&lt;0,0,(P$39-P$42-P$45)*$C$46)</f>
        <v>144815.28311537346</v>
      </c>
      <c r="Q46" s="16"/>
      <c r="R46" s="16">
        <f ca="1">IF((R$39-R$42-R$45)*$C$46&lt;0,0,(R$39-R$42-R$45)*$C$46)</f>
        <v>197004.21688017171</v>
      </c>
      <c r="S46" s="16"/>
      <c r="T46" s="16">
        <f ca="1">IF((T$39-T$42-T$45)*$C$46&lt;0,0,(T$39-T$42-T$45)*$C$46)</f>
        <v>251087.77126223943</v>
      </c>
      <c r="U46" s="16"/>
      <c r="V46" s="16">
        <f ca="1">IF((V$39-V$42-V$45)*$C$46&lt;0,0,(V$39-V$42-V$45)*$C$46)</f>
        <v>307129.36393216957</v>
      </c>
      <c r="W46" s="247"/>
    </row>
    <row r="47" spans="2:23" ht="12" thickBot="1" x14ac:dyDescent="0.25">
      <c r="B47" s="45" t="s">
        <v>71</v>
      </c>
      <c r="C47" s="44">
        <f>Summary!D42</f>
        <v>0.3</v>
      </c>
      <c r="D47" s="16">
        <f ca="1">IF((D$39-D$42-D$45)*$C$47&lt;0,0,(D$39-D$42-D$45)*$C$47)</f>
        <v>123178.15871925</v>
      </c>
      <c r="E47" s="5"/>
      <c r="F47" s="16">
        <f ca="1">IF((F$39-F$42-F$45)*$C$47&lt;0,0,(F$39-F$42-F$45)*$C$47)</f>
        <v>133952.23561800004</v>
      </c>
      <c r="G47" s="5"/>
      <c r="H47" s="16">
        <f ca="1">IF((H$39-H$42-H$45)*$C$47&lt;0,0,(H$39-H$42-H$45)*$C$47)</f>
        <v>101294.4534953999</v>
      </c>
      <c r="I47" s="5"/>
      <c r="J47" s="16">
        <f ca="1">IF((J$39-J$42-J$45)*$C$47&lt;0,0,(J$39-J$42-J$45)*$C$47)</f>
        <v>44944.930320523948</v>
      </c>
      <c r="K47" s="5"/>
      <c r="L47" s="16">
        <f ca="1">IF((L$39-L$42-L$45)*$C$47&lt;0,0,(L$39-L$42-L$45)*$C$47)</f>
        <v>17204.028245117672</v>
      </c>
      <c r="M47" s="5"/>
      <c r="N47" s="16">
        <f ca="1">IF((N$39-N$42-N$45)*$C$47&lt;0,0,(N$39-N$42-N$45)*$C$47)</f>
        <v>35422.321746585381</v>
      </c>
      <c r="O47" s="5"/>
      <c r="P47" s="16">
        <f ca="1">IF((P$39-P$42-P$45)*$C$47&lt;0,0,(P$39-P$42-P$45)*$C$47)</f>
        <v>54305.731168265047</v>
      </c>
      <c r="Q47" s="5"/>
      <c r="R47" s="16">
        <f ca="1">IF((R$39-R$42-R$45)*$C$47&lt;0,0,(R$39-R$42-R$45)*$C$47)</f>
        <v>73876.581330064379</v>
      </c>
      <c r="S47" s="5"/>
      <c r="T47" s="16">
        <f ca="1">IF((T$39-T$42-T$45)*$C$47&lt;0,0,(T$39-T$42-T$45)*$C$47)</f>
        <v>94157.914223339787</v>
      </c>
      <c r="U47" s="5"/>
      <c r="V47" s="16">
        <f ca="1">IF((V$39-V$42-V$45)*$C$47&lt;0,0,(V$39-V$42-V$45)*$C$47)</f>
        <v>115173.51147456358</v>
      </c>
      <c r="W47" s="7"/>
    </row>
    <row r="48" spans="2:23" ht="12" thickBot="1" x14ac:dyDescent="0.25">
      <c r="B48" s="46" t="s">
        <v>69</v>
      </c>
      <c r="C48" s="47"/>
      <c r="D48" s="48">
        <f ca="1">IF(D6&gt;'Exit Strategies'!$D$5,0,D46+D45)</f>
        <v>624251.96895799995</v>
      </c>
      <c r="E48" s="49"/>
      <c r="F48" s="48">
        <f ca="1">IF(F6&gt;'Exit Strategies'!$D$5,0,F46+F45)</f>
        <v>652982.84068800008</v>
      </c>
      <c r="G48" s="49"/>
      <c r="H48" s="48">
        <f ca="1">IF(H6&gt;'Exit Strategies'!$D$5,0,H46+H45)</f>
        <v>565895.42169439967</v>
      </c>
      <c r="I48" s="49"/>
      <c r="J48" s="48">
        <f ca="1">IF(J6&gt;'Exit Strategies'!$D$5,0,J46+J45)</f>
        <v>415630.02656139719</v>
      </c>
      <c r="K48" s="49"/>
      <c r="L48" s="48">
        <f ca="1">IF(L6&gt;'Exit Strategies'!$D$5,0,L46+L45)</f>
        <v>341654.28769364709</v>
      </c>
      <c r="M48" s="49"/>
      <c r="N48" s="48">
        <f ca="1">IF(N6&gt;'Exit Strategies'!$D$5,0,N46+N45)</f>
        <v>390236.40369756101</v>
      </c>
      <c r="O48" s="49"/>
      <c r="P48" s="48">
        <f ca="1">IF(P6&gt;'Exit Strategies'!$D$5,0,P46+P45)</f>
        <v>440592.16215537343</v>
      </c>
      <c r="Q48" s="49"/>
      <c r="R48" s="48">
        <f ca="1">IF(R6&gt;'Exit Strategies'!$D$5,0,R46+R45)</f>
        <v>492781.09592017171</v>
      </c>
      <c r="S48" s="49"/>
      <c r="T48" s="48">
        <f ca="1">IF(T6&gt;'Exit Strategies'!$D$5,0,T46+T45)</f>
        <v>546864.65030223946</v>
      </c>
      <c r="U48" s="49"/>
      <c r="V48" s="48">
        <f ca="1">IF(V6&gt;'Exit Strategies'!$D$5,0,V46+V45)</f>
        <v>602906.24297216954</v>
      </c>
      <c r="W48" s="251"/>
    </row>
    <row r="49" spans="2:23" x14ac:dyDescent="0.2">
      <c r="B49" s="50"/>
      <c r="C49" s="5"/>
      <c r="D49" s="5"/>
      <c r="E49" s="5"/>
      <c r="F49" s="5"/>
      <c r="G49" s="5"/>
      <c r="H49" s="5"/>
      <c r="I49" s="5"/>
      <c r="J49" s="5"/>
      <c r="K49" s="5"/>
      <c r="L49" s="5"/>
      <c r="M49" s="5"/>
      <c r="N49" s="5"/>
      <c r="O49" s="5"/>
      <c r="P49" s="5"/>
      <c r="Q49" s="5"/>
      <c r="R49" s="5"/>
      <c r="S49" s="5"/>
      <c r="T49" s="5"/>
      <c r="U49" s="5"/>
      <c r="V49" s="5"/>
      <c r="W49" s="7"/>
    </row>
    <row r="50" spans="2:23" x14ac:dyDescent="0.2">
      <c r="B50" s="51" t="s">
        <v>247</v>
      </c>
      <c r="C50" s="5"/>
      <c r="D50" s="52">
        <f>IF(D6&gt;'Exit Strategies'!$D$5,0,Returns!C6)</f>
        <v>3697210.9879999999</v>
      </c>
      <c r="E50" s="5"/>
      <c r="F50" s="398">
        <f>IF(F6&gt;'Exit Strategies'!$D$5,0,Returns!D6)</f>
        <v>3697210.9879999999</v>
      </c>
      <c r="G50" s="5"/>
      <c r="H50" s="398">
        <f>IF(H6&gt;'Exit Strategies'!$D$5,0,Returns!E6)</f>
        <v>3697210.9879999999</v>
      </c>
      <c r="I50" s="5"/>
      <c r="J50" s="398">
        <f>IF(J6&gt;'Exit Strategies'!$D$5,0,Returns!F6)</f>
        <v>3697210.9879999999</v>
      </c>
      <c r="K50" s="5"/>
      <c r="L50" s="398">
        <f>IF(L6&gt;'Exit Strategies'!$D$5,0,Returns!G6)</f>
        <v>3697210.9879999999</v>
      </c>
      <c r="M50" s="5"/>
      <c r="N50" s="398">
        <f>IF(N6&gt;'Exit Strategies'!$D$5,0,Returns!H6)</f>
        <v>3697210.9879999999</v>
      </c>
      <c r="O50" s="5"/>
      <c r="P50" s="398">
        <f>IF(P6&gt;'Exit Strategies'!$D$5,0,Returns!I6)</f>
        <v>3697210.9879999999</v>
      </c>
      <c r="Q50" s="5"/>
      <c r="R50" s="398">
        <f>IF(R6&gt;'Exit Strategies'!$D$5,0,Returns!J6)</f>
        <v>3697210.9879999999</v>
      </c>
      <c r="S50" s="5"/>
      <c r="T50" s="398">
        <f>IF(T6&gt;'Exit Strategies'!$D$5,0,Returns!K6)</f>
        <v>3697210.9879999999</v>
      </c>
      <c r="U50" s="5"/>
      <c r="V50" s="398">
        <f>IF(V6&gt;'Exit Strategies'!$D$5,0,Returns!L6)</f>
        <v>3697210.9879999999</v>
      </c>
      <c r="W50" s="7"/>
    </row>
    <row r="51" spans="2:23" ht="12" thickBot="1" x14ac:dyDescent="0.25">
      <c r="B51" s="50"/>
      <c r="C51" s="5"/>
      <c r="D51" s="94"/>
      <c r="E51" s="5"/>
      <c r="F51" s="94"/>
      <c r="G51" s="5"/>
      <c r="H51" s="94"/>
      <c r="I51" s="5"/>
      <c r="J51" s="94"/>
      <c r="K51" s="5"/>
      <c r="L51" s="94"/>
      <c r="M51" s="5"/>
      <c r="N51" s="94"/>
      <c r="O51" s="5"/>
      <c r="P51" s="94"/>
      <c r="Q51" s="5"/>
      <c r="R51" s="94"/>
      <c r="S51" s="5"/>
      <c r="T51" s="94"/>
      <c r="U51" s="5"/>
      <c r="V51" s="5"/>
      <c r="W51" s="7"/>
    </row>
    <row r="52" spans="2:23" ht="12" thickBot="1" x14ac:dyDescent="0.25">
      <c r="B52" s="46" t="s">
        <v>80</v>
      </c>
      <c r="C52" s="49"/>
      <c r="D52" s="851">
        <f ca="1">IF(D50=0,"INFINITY",D48/D50)</f>
        <v>0.16884402079949676</v>
      </c>
      <c r="E52" s="49"/>
      <c r="F52" s="851">
        <f ca="1">IF(F50=0,"INFINITY",F48/F50)</f>
        <v>0.176614978914479</v>
      </c>
      <c r="G52" s="49"/>
      <c r="H52" s="851">
        <f ca="1">IF(H50=0,"INFINITY",H48/H50)</f>
        <v>0.15306008327117945</v>
      </c>
      <c r="I52" s="49"/>
      <c r="J52" s="851">
        <f ca="1">IF(J50=0,"INFINITY",J48/J50)</f>
        <v>0.11241717822174697</v>
      </c>
      <c r="K52" s="49"/>
      <c r="L52" s="851">
        <f ca="1">IF(L50=0,"INFINITY",L48/L50)</f>
        <v>9.2408653117863962E-2</v>
      </c>
      <c r="M52" s="49"/>
      <c r="N52" s="851">
        <f ca="1">IF(N50=0,"INFINITY",N48/N50)</f>
        <v>0.10554885965776563</v>
      </c>
      <c r="O52" s="49"/>
      <c r="P52" s="851">
        <f ca="1">IF(P50=0,"INFINITY",P48/P50)</f>
        <v>0.11916879063310126</v>
      </c>
      <c r="Q52" s="49"/>
      <c r="R52" s="851">
        <f ca="1">IF(R50=0,"INFINITY",R48/R50)</f>
        <v>0.13328454814171717</v>
      </c>
      <c r="S52" s="49"/>
      <c r="T52" s="851">
        <f ca="1">IF(T50=0,"INFINITY",T48/T50)</f>
        <v>0.14791275155169464</v>
      </c>
      <c r="U52" s="49"/>
      <c r="V52" s="851">
        <f ca="1">IF(V50=0,"INFINITY",V48/V50)</f>
        <v>0.16307055370359338</v>
      </c>
      <c r="W52" s="251"/>
    </row>
    <row r="53" spans="2:23" ht="12" thickBot="1" x14ac:dyDescent="0.25">
      <c r="B53" s="20" t="str">
        <f>Returns!B17</f>
        <v>Average Cash on Cash Return</v>
      </c>
      <c r="C53" s="5"/>
      <c r="D53" s="95">
        <f ca="1">Returns!C9</f>
        <v>0.16884402079949676</v>
      </c>
      <c r="E53" s="5"/>
      <c r="F53" s="95">
        <f ca="1">Returns!E9</f>
        <v>0.1661730276617184</v>
      </c>
      <c r="G53" s="5"/>
      <c r="H53" s="95">
        <f ca="1">Returns!D9</f>
        <v>0.17272949985698788</v>
      </c>
      <c r="I53" s="5"/>
      <c r="J53" s="95">
        <f ca="1">Returns!E9</f>
        <v>0.1661730276617184</v>
      </c>
      <c r="K53" s="5"/>
      <c r="L53" s="95">
        <f ca="1">Returns!G9</f>
        <v>0.14066898286495325</v>
      </c>
      <c r="M53" s="5"/>
      <c r="N53" s="95">
        <f ca="1">Returns!H9</f>
        <v>0.13481562899708863</v>
      </c>
      <c r="O53" s="5"/>
      <c r="P53" s="95">
        <f ca="1">Returns!I9</f>
        <v>0.13258036637366186</v>
      </c>
      <c r="Q53" s="5"/>
      <c r="R53" s="95">
        <f ca="1">Returns!J9</f>
        <v>0.13266838909466877</v>
      </c>
      <c r="S53" s="5"/>
      <c r="T53" s="95">
        <f ca="1">Returns!K9</f>
        <v>0.13436220714544944</v>
      </c>
      <c r="U53" s="5"/>
      <c r="V53" s="95">
        <f ca="1">Returns!L9</f>
        <v>0.13723304180126383</v>
      </c>
      <c r="W53" s="7"/>
    </row>
    <row r="54" spans="2:23" x14ac:dyDescent="0.2">
      <c r="B54" s="238"/>
      <c r="C54" s="239"/>
      <c r="D54" s="239"/>
      <c r="E54" s="239"/>
      <c r="F54" s="239"/>
      <c r="G54" s="239"/>
      <c r="H54" s="239"/>
      <c r="I54" s="239"/>
      <c r="J54" s="239"/>
      <c r="K54" s="239"/>
      <c r="L54" s="239"/>
      <c r="M54" s="239"/>
      <c r="N54" s="239"/>
      <c r="O54" s="239"/>
      <c r="P54" s="239"/>
      <c r="Q54" s="239"/>
      <c r="R54" s="239"/>
      <c r="S54" s="239"/>
      <c r="T54" s="239"/>
      <c r="U54" s="239"/>
      <c r="V54" s="239"/>
      <c r="W54" s="240"/>
    </row>
    <row r="55" spans="2:23" x14ac:dyDescent="0.2">
      <c r="B55" s="50" t="s">
        <v>101</v>
      </c>
      <c r="C55" s="427">
        <f>C56-1%</f>
        <v>7.0000000000000007E-2</v>
      </c>
      <c r="D55" s="94">
        <f>D32/$C$55</f>
        <v>19942616.628571425</v>
      </c>
      <c r="E55" s="5"/>
      <c r="F55" s="94">
        <f>F32/$C$55</f>
        <v>20470706.297142856</v>
      </c>
      <c r="G55" s="5"/>
      <c r="H55" s="94">
        <f>H32/$C$55</f>
        <v>18936377.208914291</v>
      </c>
      <c r="I55" s="5"/>
      <c r="J55" s="94">
        <f>J32/$C$55</f>
        <v>19807367.516667433</v>
      </c>
      <c r="K55" s="5"/>
      <c r="L55" s="94">
        <f>L32/$C$55</f>
        <v>18508442.500225738</v>
      </c>
      <c r="M55" s="5"/>
      <c r="N55" s="94">
        <f>N32/$C$55</f>
        <v>19398712.716106817</v>
      </c>
      <c r="O55" s="5"/>
      <c r="P55" s="94">
        <f>P32/$C$55</f>
        <v>20321337.091567531</v>
      </c>
      <c r="Q55" s="5"/>
      <c r="R55" s="94">
        <f>R32/$C$55</f>
        <v>21277399.172457326</v>
      </c>
      <c r="S55" s="5"/>
      <c r="T55" s="94">
        <f>T32/$C$55</f>
        <v>22268017.269422404</v>
      </c>
      <c r="U55" s="5"/>
      <c r="V55" s="94">
        <f>V32/$C$55</f>
        <v>23294345.546017963</v>
      </c>
      <c r="W55" s="7"/>
    </row>
    <row r="56" spans="2:23" x14ac:dyDescent="0.2">
      <c r="B56" s="50"/>
      <c r="C56" s="427">
        <f>Summary!D22</f>
        <v>0.08</v>
      </c>
      <c r="D56" s="94">
        <f>D32/$C$56</f>
        <v>17449789.549999997</v>
      </c>
      <c r="E56" s="5"/>
      <c r="F56" s="94">
        <f>F32/$C$56</f>
        <v>17911868.009999998</v>
      </c>
      <c r="G56" s="5"/>
      <c r="H56" s="94">
        <f>H32/$C$56</f>
        <v>16569330.057800004</v>
      </c>
      <c r="I56" s="5"/>
      <c r="J56" s="94">
        <f>J32/$C$56</f>
        <v>17331446.577084005</v>
      </c>
      <c r="K56" s="5"/>
      <c r="L56" s="94">
        <f>L32/$C$56</f>
        <v>16194887.187697522</v>
      </c>
      <c r="M56" s="5"/>
      <c r="N56" s="94">
        <f>N32/$C$56</f>
        <v>16973873.626593467</v>
      </c>
      <c r="O56" s="5"/>
      <c r="P56" s="94">
        <f>P32/$C$56</f>
        <v>17781169.955121592</v>
      </c>
      <c r="Q56" s="5"/>
      <c r="R56" s="94">
        <f>R32/$C$56</f>
        <v>18617724.275900163</v>
      </c>
      <c r="S56" s="5"/>
      <c r="T56" s="94">
        <f>T32/$C$56</f>
        <v>19484515.110744607</v>
      </c>
      <c r="U56" s="5"/>
      <c r="V56" s="94">
        <f>V32/$C$56</f>
        <v>20382552.35276572</v>
      </c>
      <c r="W56" s="7"/>
    </row>
    <row r="57" spans="2:23" x14ac:dyDescent="0.2">
      <c r="B57" s="50"/>
      <c r="C57" s="427">
        <f>C56+1%</f>
        <v>0.09</v>
      </c>
      <c r="D57" s="94">
        <f>D32/$C$57</f>
        <v>15510924.044444444</v>
      </c>
      <c r="E57" s="5"/>
      <c r="F57" s="94">
        <f>F32/$C$57</f>
        <v>15921660.453333333</v>
      </c>
      <c r="G57" s="5"/>
      <c r="H57" s="94">
        <f>H32/$C$57</f>
        <v>14728293.384711117</v>
      </c>
      <c r="I57" s="5"/>
      <c r="J57" s="94">
        <f>J32/$C$57</f>
        <v>15405730.290741339</v>
      </c>
      <c r="K57" s="5"/>
      <c r="L57" s="94">
        <f>L32/$C$57</f>
        <v>14395455.277953355</v>
      </c>
      <c r="M57" s="5"/>
      <c r="N57" s="94">
        <f>N32/$C$57</f>
        <v>15087887.668083081</v>
      </c>
      <c r="O57" s="5"/>
      <c r="P57" s="94">
        <f>P32/$C$57</f>
        <v>15805484.404552527</v>
      </c>
      <c r="Q57" s="5"/>
      <c r="R57" s="94">
        <f>R32/$C$57</f>
        <v>16549088.245244589</v>
      </c>
      <c r="S57" s="5"/>
      <c r="T57" s="94">
        <f>T32/$C$57</f>
        <v>17319568.987328541</v>
      </c>
      <c r="U57" s="5"/>
      <c r="V57" s="94">
        <f>V32/$C$57</f>
        <v>18117824.313569531</v>
      </c>
      <c r="W57" s="7"/>
    </row>
    <row r="58" spans="2:23" x14ac:dyDescent="0.2">
      <c r="B58" s="50"/>
      <c r="C58" s="5"/>
      <c r="D58" s="5"/>
      <c r="E58" s="5"/>
      <c r="F58" s="5"/>
      <c r="G58" s="5"/>
      <c r="H58" s="5"/>
      <c r="I58" s="5"/>
      <c r="J58" s="5"/>
      <c r="K58" s="5"/>
      <c r="L58" s="5"/>
      <c r="M58" s="5"/>
      <c r="N58" s="5"/>
      <c r="O58" s="5"/>
      <c r="P58" s="5"/>
      <c r="Q58" s="5"/>
      <c r="R58" s="5"/>
      <c r="S58" s="5"/>
      <c r="T58" s="5"/>
      <c r="U58" s="5"/>
      <c r="V58" s="5"/>
      <c r="W58" s="7"/>
    </row>
    <row r="59" spans="2:23" ht="12" thickBot="1" x14ac:dyDescent="0.25">
      <c r="B59" s="241" t="s">
        <v>87</v>
      </c>
      <c r="C59" s="10"/>
      <c r="D59" s="793">
        <f ca="1">IF(D37=0,0,D32/D37)</f>
        <v>2.1740091848245959</v>
      </c>
      <c r="E59" s="10"/>
      <c r="F59" s="793">
        <f ca="1">IF(F37=0,0,F32/F37)</f>
        <v>2.2315779488071743</v>
      </c>
      <c r="G59" s="10"/>
      <c r="H59" s="793">
        <f ca="1">IF(H37=0,0,H32/H37)</f>
        <v>2.0643157688997698</v>
      </c>
      <c r="I59" s="10"/>
      <c r="J59" s="793">
        <f ca="1">IF(J37=0,0,J32/J37)</f>
        <v>1.5588899894536865</v>
      </c>
      <c r="K59" s="10"/>
      <c r="L59" s="793">
        <f ca="1">IF(L37=0,0,L32/L37)</f>
        <v>1.456661300887272</v>
      </c>
      <c r="M59" s="10"/>
      <c r="N59" s="793">
        <f ca="1">IF(N37=0,0,N32/N37)</f>
        <v>1.526727821654251</v>
      </c>
      <c r="O59" s="10"/>
      <c r="P59" s="793">
        <f ca="1">IF(P37=0,0,P32/P37)</f>
        <v>1.5993406967231591</v>
      </c>
      <c r="Q59" s="10"/>
      <c r="R59" s="793">
        <f ca="1">IF(R37=0,0,R32/R37)</f>
        <v>1.6745852038966209</v>
      </c>
      <c r="S59" s="10"/>
      <c r="T59" s="793">
        <f ca="1">IF(T37=0,0,T32/T37)</f>
        <v>1.7525493570548429</v>
      </c>
      <c r="U59" s="10"/>
      <c r="V59" s="793">
        <f ca="1">IF(V37=0,0,V32/V37)</f>
        <v>1.833323991792732</v>
      </c>
      <c r="W59" s="12"/>
    </row>
    <row r="60" spans="2:23" x14ac:dyDescent="0.2">
      <c r="B60" s="5"/>
      <c r="C60" s="5"/>
      <c r="D60" s="5"/>
      <c r="E60" s="5"/>
    </row>
    <row r="61" spans="2:23" ht="12.75" x14ac:dyDescent="0.2">
      <c r="B61" s="218" t="s">
        <v>301</v>
      </c>
      <c r="C61" s="219"/>
      <c r="D61" s="219"/>
      <c r="E61" s="5"/>
    </row>
    <row r="62" spans="2:23" x14ac:dyDescent="0.2">
      <c r="B62" s="218" t="s">
        <v>140</v>
      </c>
      <c r="C62" s="200"/>
      <c r="D62" s="200"/>
      <c r="E62" s="5"/>
    </row>
    <row r="63" spans="2:23" x14ac:dyDescent="0.2">
      <c r="E63" s="5"/>
    </row>
    <row r="64" spans="2:23" x14ac:dyDescent="0.2">
      <c r="E64" s="197"/>
      <c r="F64" s="197"/>
      <c r="G64" s="197"/>
      <c r="H64" s="197"/>
    </row>
    <row r="65" spans="5:8" x14ac:dyDescent="0.2">
      <c r="E65" s="200"/>
      <c r="F65" s="200"/>
      <c r="G65" s="197"/>
      <c r="H65" s="197"/>
    </row>
  </sheetData>
  <customSheetViews>
    <customSheetView guid="{238A3432-2201-4481-B06C-00480E9813A7}" showRuler="0">
      <pane xSplit="3" ySplit="6" topLeftCell="D7" activePane="bottomRight" state="frozenSplit"/>
      <selection pane="bottomRight" activeCell="F25" sqref="F25"/>
      <pageMargins left="0.7" right="0.7" top="0.75" bottom="0.75" header="0.3" footer="0.3"/>
      <pageSetup orientation="portrait" horizontalDpi="0" verticalDpi="0"/>
      <headerFooter alignWithMargins="0"/>
    </customSheetView>
  </customSheetViews>
  <phoneticPr fontId="0" type="noConversion"/>
  <conditionalFormatting sqref="R7 D7 P7 V5 H7 J7 L7 N7 T7 F5 D5 T5 H5 J5 L5 N5 P5 R5 V7 F7">
    <cfRule type="cellIs" dxfId="28" priority="1" stopIfTrue="1" operator="equal">
      <formula>"REFINANCE!"</formula>
    </cfRule>
    <cfRule type="cellIs" dxfId="27" priority="2" stopIfTrue="1" operator="equal">
      <formula>"SALE!"</formula>
    </cfRule>
  </conditionalFormatting>
  <conditionalFormatting sqref="D59 F59 H59 J59 L59 N59 P59 R59 T59 V59">
    <cfRule type="cellIs" priority="5" stopIfTrue="1" operator="equal">
      <formula>0</formula>
    </cfRule>
    <cfRule type="cellIs" dxfId="26" priority="6" stopIfTrue="1" operator="lessThan">
      <formula>$AC$9</formula>
    </cfRule>
    <cfRule type="cellIs" dxfId="25" priority="7" stopIfTrue="1" operator="greaterThanOrEqual">
      <formula>$AC$9</formula>
    </cfRule>
  </conditionalFormatting>
  <conditionalFormatting sqref="D29">
    <cfRule type="expression" priority="8" stopIfTrue="1">
      <formula>SUM($D$16:$D$29)=0</formula>
    </cfRule>
    <cfRule type="cellIs" dxfId="24" priority="9" stopIfTrue="1" operator="lessThan">
      <formula>$AC$14</formula>
    </cfRule>
    <cfRule type="cellIs" dxfId="23" priority="10" stopIfTrue="1" operator="greaterThanOrEqual">
      <formula>$AC$14</formula>
    </cfRule>
  </conditionalFormatting>
  <conditionalFormatting sqref="F29 H29 J29 L29 N29 P29 R29 T29 V29">
    <cfRule type="expression" priority="11" stopIfTrue="1">
      <formula>SUM($F$16:$F$29)=0</formula>
    </cfRule>
    <cfRule type="cellIs" dxfId="22" priority="12" stopIfTrue="1" operator="lessThan">
      <formula>$AC$14</formula>
    </cfRule>
    <cfRule type="cellIs" dxfId="21" priority="13" stopIfTrue="1" operator="greaterThanOrEqual">
      <formula>$AC$14</formula>
    </cfRule>
  </conditionalFormatting>
  <pageMargins left="0.75" right="0.75" top="1" bottom="1" header="0.5" footer="0.5"/>
  <pageSetup orientation="landscape" horizontalDpi="1200" verticalDpi="1200"/>
  <headerFooter alignWithMargins="0"/>
  <ignoredErrors>
    <ignoredError sqref="T24 G17:G29 I16:I29 K16:K29 M16:M29 O16:O29 Q16:Q29 S16:S29 V24:W24 U16:U29 H24 J24 L24 N24 P24 R24 F24" formula="1"/>
  </ignoredErrors>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P54"/>
  <sheetViews>
    <sheetView topLeftCell="A7" workbookViewId="0">
      <selection activeCell="D32" sqref="D32"/>
    </sheetView>
  </sheetViews>
  <sheetFormatPr defaultColWidth="8.85546875" defaultRowHeight="12" x14ac:dyDescent="0.2"/>
  <cols>
    <col min="1" max="1" width="8.85546875" style="204"/>
    <col min="2" max="2" width="29.42578125" style="204" customWidth="1"/>
    <col min="3" max="4" width="11.28515625" style="204" customWidth="1"/>
    <col min="5" max="5" width="10.42578125" style="206" customWidth="1"/>
    <col min="6" max="6" width="10.28515625" style="206" customWidth="1"/>
    <col min="7" max="7" width="12.28515625" style="204" customWidth="1"/>
    <col min="8" max="8" width="9.28515625" style="206" customWidth="1"/>
    <col min="9" max="9" width="12.28515625" style="204" customWidth="1"/>
    <col min="10" max="10" width="9.28515625" style="206" customWidth="1"/>
    <col min="11" max="16384" width="8.85546875" style="204"/>
  </cols>
  <sheetData>
    <row r="1" spans="1:42" s="222" customFormat="1" ht="15.75" x14ac:dyDescent="0.2">
      <c r="A1" s="972" t="s">
        <v>139</v>
      </c>
      <c r="B1" s="973"/>
      <c r="C1" s="973"/>
      <c r="D1" s="973"/>
      <c r="E1" s="973"/>
      <c r="F1" s="224"/>
      <c r="G1" s="224"/>
      <c r="H1" s="224"/>
      <c r="I1" s="224"/>
      <c r="J1" s="224"/>
      <c r="K1" s="224"/>
      <c r="L1" s="225"/>
      <c r="M1" s="225"/>
      <c r="N1" s="225"/>
      <c r="O1" s="451"/>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row>
    <row r="2" spans="1:42" x14ac:dyDescent="0.2">
      <c r="A2" s="467"/>
      <c r="B2" s="467"/>
      <c r="C2" s="467"/>
      <c r="D2" s="467"/>
      <c r="E2" s="458"/>
      <c r="F2" s="458"/>
      <c r="G2" s="467"/>
      <c r="H2" s="458"/>
      <c r="I2" s="467"/>
      <c r="J2" s="458"/>
      <c r="K2" s="467"/>
      <c r="L2" s="467"/>
      <c r="M2" s="467"/>
      <c r="N2" s="467"/>
      <c r="O2" s="467"/>
    </row>
    <row r="3" spans="1:42" x14ac:dyDescent="0.2">
      <c r="A3" s="467"/>
      <c r="B3" s="492" t="s">
        <v>106</v>
      </c>
      <c r="C3" s="467"/>
      <c r="D3" s="467"/>
      <c r="E3" s="458"/>
      <c r="F3" s="458"/>
      <c r="G3" s="467"/>
      <c r="H3" s="458"/>
      <c r="I3" s="467"/>
      <c r="J3" s="458"/>
      <c r="K3" s="467"/>
      <c r="L3" s="467"/>
      <c r="M3" s="467"/>
      <c r="N3" s="467"/>
      <c r="O3" s="467"/>
    </row>
    <row r="4" spans="1:42" ht="12.75" thickBot="1" x14ac:dyDescent="0.25">
      <c r="A4" s="467"/>
      <c r="B4" s="467"/>
      <c r="C4" s="207"/>
      <c r="D4" s="207"/>
      <c r="E4" s="458"/>
      <c r="F4" s="458"/>
      <c r="G4" s="492"/>
      <c r="H4" s="458"/>
      <c r="I4" s="492"/>
      <c r="J4" s="458"/>
      <c r="K4" s="467"/>
      <c r="L4" s="467"/>
      <c r="M4" s="467"/>
      <c r="N4" s="467"/>
      <c r="O4" s="467"/>
    </row>
    <row r="5" spans="1:42" x14ac:dyDescent="0.2">
      <c r="A5" s="467"/>
      <c r="B5" s="504" t="s">
        <v>12</v>
      </c>
      <c r="C5" s="441">
        <f>Summary!D8</f>
        <v>15300000</v>
      </c>
      <c r="D5" s="208"/>
      <c r="E5" s="458"/>
      <c r="F5" s="458"/>
      <c r="G5" s="493"/>
      <c r="H5" s="458"/>
      <c r="I5" s="493"/>
      <c r="J5" s="458"/>
      <c r="K5" s="467"/>
      <c r="L5" s="467"/>
      <c r="M5" s="467"/>
      <c r="N5" s="467"/>
      <c r="O5" s="467"/>
    </row>
    <row r="6" spans="1:42" x14ac:dyDescent="0.2">
      <c r="A6" s="467"/>
      <c r="B6" s="66" t="s">
        <v>39</v>
      </c>
      <c r="C6" s="67">
        <f>Summary!D12</f>
        <v>13518397</v>
      </c>
      <c r="D6" s="208"/>
      <c r="E6" s="494"/>
      <c r="F6" s="458"/>
      <c r="G6" s="493"/>
      <c r="H6" s="458"/>
      <c r="I6" s="493"/>
      <c r="J6" s="458"/>
      <c r="K6" s="467"/>
      <c r="L6" s="467"/>
      <c r="M6" s="467"/>
      <c r="N6" s="467"/>
      <c r="O6" s="467"/>
    </row>
    <row r="7" spans="1:42" x14ac:dyDescent="0.2">
      <c r="A7" s="467"/>
      <c r="B7" s="66" t="s">
        <v>16</v>
      </c>
      <c r="C7" s="67">
        <f>C5-C6</f>
        <v>1781603</v>
      </c>
      <c r="D7" s="208"/>
      <c r="E7" s="458"/>
      <c r="F7" s="458"/>
      <c r="G7" s="495"/>
      <c r="H7" s="458"/>
      <c r="I7" s="495"/>
      <c r="J7" s="458"/>
      <c r="K7" s="467"/>
      <c r="L7" s="467"/>
      <c r="M7" s="467"/>
      <c r="N7" s="467"/>
      <c r="O7" s="467"/>
    </row>
    <row r="8" spans="1:42" x14ac:dyDescent="0.2">
      <c r="A8" s="467"/>
      <c r="B8" s="66" t="s">
        <v>107</v>
      </c>
      <c r="C8" s="67">
        <f>C47</f>
        <v>472054.94</v>
      </c>
      <c r="D8" s="208"/>
      <c r="E8" s="458"/>
      <c r="F8" s="458"/>
      <c r="G8" s="495"/>
      <c r="H8" s="458"/>
      <c r="I8" s="495"/>
      <c r="J8" s="458"/>
      <c r="K8" s="467"/>
      <c r="L8" s="467"/>
      <c r="M8" s="467"/>
      <c r="N8" s="467"/>
      <c r="O8" s="467"/>
    </row>
    <row r="9" spans="1:42" x14ac:dyDescent="0.2">
      <c r="A9" s="467"/>
      <c r="B9" s="66" t="s">
        <v>102</v>
      </c>
      <c r="C9" s="67">
        <f>Summary!D19</f>
        <v>306000</v>
      </c>
      <c r="D9" s="208"/>
      <c r="E9" s="458"/>
      <c r="F9" s="458"/>
      <c r="G9" s="495"/>
      <c r="H9" s="458"/>
      <c r="I9" s="495"/>
      <c r="J9" s="458"/>
      <c r="K9" s="467"/>
      <c r="L9" s="467"/>
      <c r="M9" s="467"/>
      <c r="N9" s="467"/>
      <c r="O9" s="467"/>
    </row>
    <row r="10" spans="1:42" x14ac:dyDescent="0.2">
      <c r="A10" s="467"/>
      <c r="B10" s="66" t="s">
        <v>108</v>
      </c>
      <c r="C10" s="67">
        <f>Summary!D20</f>
        <v>984000</v>
      </c>
      <c r="D10" s="208"/>
      <c r="E10" s="458"/>
      <c r="F10" s="458"/>
      <c r="G10" s="495"/>
      <c r="H10" s="458"/>
      <c r="I10" s="495"/>
      <c r="J10" s="458"/>
      <c r="K10" s="467"/>
      <c r="L10" s="467"/>
      <c r="M10" s="467"/>
      <c r="N10" s="467"/>
      <c r="O10" s="467"/>
    </row>
    <row r="11" spans="1:42" ht="12.75" thickBot="1" x14ac:dyDescent="0.25">
      <c r="A11" s="467"/>
      <c r="B11" s="66"/>
      <c r="C11" s="67"/>
      <c r="D11" s="208"/>
      <c r="E11" s="458"/>
      <c r="F11" s="458"/>
      <c r="G11" s="495"/>
      <c r="H11" s="458"/>
      <c r="I11" s="495"/>
      <c r="J11" s="458"/>
      <c r="K11" s="467"/>
      <c r="L11" s="467"/>
      <c r="M11" s="467"/>
      <c r="N11" s="467"/>
      <c r="O11" s="467"/>
    </row>
    <row r="12" spans="1:42" ht="24.75" thickBot="1" x14ac:dyDescent="0.25">
      <c r="A12" s="467"/>
      <c r="B12" s="267" t="s">
        <v>60</v>
      </c>
      <c r="C12" s="268">
        <f>SUM(C7:C11)</f>
        <v>3543657.94</v>
      </c>
      <c r="D12" s="208"/>
      <c r="E12" s="458"/>
      <c r="F12" s="458"/>
      <c r="G12" s="495"/>
      <c r="H12" s="458"/>
      <c r="I12" s="495"/>
      <c r="J12" s="458"/>
      <c r="K12" s="467"/>
      <c r="L12" s="467"/>
      <c r="M12" s="467"/>
      <c r="N12" s="467"/>
      <c r="O12" s="467"/>
    </row>
    <row r="13" spans="1:42" x14ac:dyDescent="0.2">
      <c r="A13" s="467"/>
      <c r="B13" s="66"/>
      <c r="C13" s="67"/>
      <c r="D13" s="208"/>
      <c r="E13" s="494"/>
      <c r="F13" s="458"/>
      <c r="G13" s="495"/>
      <c r="H13" s="458"/>
      <c r="I13" s="495"/>
      <c r="J13" s="458"/>
      <c r="K13" s="467"/>
      <c r="L13" s="467"/>
      <c r="M13" s="467"/>
      <c r="N13" s="467"/>
      <c r="O13" s="467"/>
    </row>
    <row r="14" spans="1:42" x14ac:dyDescent="0.2">
      <c r="A14" s="467"/>
      <c r="B14" s="68" t="s">
        <v>109</v>
      </c>
      <c r="C14" s="67"/>
      <c r="D14" s="208"/>
      <c r="E14" s="496"/>
      <c r="F14" s="458"/>
      <c r="G14" s="495"/>
      <c r="H14" s="458"/>
      <c r="I14" s="495"/>
      <c r="J14" s="458"/>
      <c r="K14" s="467"/>
      <c r="L14" s="467"/>
      <c r="M14" s="467"/>
      <c r="N14" s="467"/>
      <c r="O14" s="467"/>
    </row>
    <row r="15" spans="1:42" x14ac:dyDescent="0.2">
      <c r="A15" s="467"/>
      <c r="B15" s="66"/>
      <c r="C15" s="67"/>
      <c r="D15" s="208"/>
      <c r="E15" s="494"/>
      <c r="F15" s="458"/>
      <c r="G15" s="495"/>
      <c r="H15" s="458"/>
      <c r="I15" s="495"/>
      <c r="J15" s="458"/>
      <c r="K15" s="467"/>
      <c r="L15" s="467"/>
      <c r="M15" s="467"/>
      <c r="N15" s="467"/>
      <c r="O15" s="467"/>
    </row>
    <row r="16" spans="1:42" x14ac:dyDescent="0.2">
      <c r="A16" s="467"/>
      <c r="B16" s="66" t="s">
        <v>133</v>
      </c>
      <c r="C16" s="69">
        <v>8500</v>
      </c>
      <c r="D16" s="209"/>
      <c r="E16" s="497"/>
      <c r="F16" s="496"/>
      <c r="G16" s="493"/>
      <c r="H16" s="496"/>
      <c r="I16" s="493"/>
      <c r="J16" s="496"/>
      <c r="K16" s="467"/>
      <c r="L16" s="467"/>
      <c r="M16" s="467"/>
      <c r="N16" s="467"/>
      <c r="O16" s="467"/>
    </row>
    <row r="17" spans="1:15" x14ac:dyDescent="0.2">
      <c r="A17" s="467"/>
      <c r="B17" s="66" t="s">
        <v>223</v>
      </c>
      <c r="C17" s="67">
        <f>E17*Summary!D6</f>
        <v>14760</v>
      </c>
      <c r="D17" s="503" t="s">
        <v>83</v>
      </c>
      <c r="E17" s="894">
        <v>30</v>
      </c>
      <c r="F17" s="496"/>
      <c r="G17" s="493"/>
      <c r="H17" s="496"/>
      <c r="I17" s="493"/>
      <c r="J17" s="496"/>
      <c r="K17" s="467"/>
      <c r="L17" s="467"/>
      <c r="M17" s="467"/>
      <c r="N17" s="467"/>
      <c r="O17" s="467"/>
    </row>
    <row r="18" spans="1:15" x14ac:dyDescent="0.2">
      <c r="A18" s="467"/>
      <c r="B18" s="66" t="s">
        <v>224</v>
      </c>
      <c r="C18" s="67">
        <f>E18*Summary!D6</f>
        <v>0</v>
      </c>
      <c r="D18" s="503" t="s">
        <v>83</v>
      </c>
      <c r="E18" s="894">
        <v>0</v>
      </c>
      <c r="F18" s="496"/>
      <c r="G18" s="493"/>
      <c r="H18" s="496"/>
      <c r="I18" s="493"/>
      <c r="J18" s="496"/>
      <c r="K18" s="467"/>
      <c r="L18" s="467"/>
      <c r="M18" s="467"/>
      <c r="N18" s="467"/>
      <c r="O18" s="467"/>
    </row>
    <row r="19" spans="1:15" x14ac:dyDescent="0.2">
      <c r="A19" s="467"/>
      <c r="B19" s="96" t="s">
        <v>110</v>
      </c>
      <c r="C19" s="69"/>
      <c r="D19" s="209"/>
      <c r="E19" s="497"/>
      <c r="F19" s="496"/>
      <c r="G19" s="493"/>
      <c r="H19" s="496"/>
      <c r="I19" s="493"/>
      <c r="J19" s="496"/>
      <c r="K19" s="467"/>
      <c r="L19" s="467"/>
      <c r="M19" s="467"/>
      <c r="N19" s="467"/>
      <c r="O19" s="467"/>
    </row>
    <row r="20" spans="1:15" x14ac:dyDescent="0.2">
      <c r="A20" s="467"/>
      <c r="B20" s="97" t="s">
        <v>111</v>
      </c>
      <c r="C20" s="69">
        <v>800</v>
      </c>
      <c r="D20" s="209"/>
      <c r="E20" s="497"/>
      <c r="F20" s="496"/>
      <c r="G20" s="493"/>
      <c r="H20" s="496"/>
      <c r="I20" s="493"/>
      <c r="J20" s="496"/>
      <c r="K20" s="467"/>
      <c r="L20" s="467"/>
      <c r="M20" s="467"/>
      <c r="N20" s="467"/>
      <c r="O20" s="467"/>
    </row>
    <row r="21" spans="1:15" x14ac:dyDescent="0.2">
      <c r="A21" s="467"/>
      <c r="B21" s="97" t="s">
        <v>134</v>
      </c>
      <c r="C21" s="69">
        <v>3000</v>
      </c>
      <c r="D21" s="209"/>
      <c r="E21" s="497"/>
      <c r="F21" s="496"/>
      <c r="G21" s="493"/>
      <c r="H21" s="496"/>
      <c r="I21" s="493"/>
      <c r="J21" s="496"/>
      <c r="K21" s="467"/>
      <c r="L21" s="467"/>
      <c r="M21" s="467"/>
      <c r="N21" s="467"/>
      <c r="O21" s="467"/>
    </row>
    <row r="22" spans="1:15" x14ac:dyDescent="0.2">
      <c r="A22" s="467"/>
      <c r="B22" s="97" t="s">
        <v>112</v>
      </c>
      <c r="C22" s="69">
        <v>800</v>
      </c>
      <c r="D22" s="209"/>
      <c r="E22" s="498"/>
      <c r="F22" s="496"/>
      <c r="G22" s="493"/>
      <c r="H22" s="496"/>
      <c r="I22" s="493"/>
      <c r="J22" s="496"/>
      <c r="K22" s="467"/>
      <c r="L22" s="467"/>
      <c r="M22" s="467"/>
      <c r="N22" s="467"/>
      <c r="O22" s="467"/>
    </row>
    <row r="23" spans="1:15" x14ac:dyDescent="0.2">
      <c r="A23" s="467"/>
      <c r="B23" s="97" t="s">
        <v>304</v>
      </c>
      <c r="C23" s="69">
        <v>2000</v>
      </c>
      <c r="D23" s="209"/>
      <c r="E23" s="497"/>
      <c r="F23" s="496"/>
      <c r="G23" s="493"/>
      <c r="H23" s="496"/>
      <c r="I23" s="493"/>
      <c r="J23" s="496"/>
      <c r="K23" s="467"/>
      <c r="L23" s="467"/>
      <c r="M23" s="467"/>
      <c r="N23" s="467"/>
      <c r="O23" s="467"/>
    </row>
    <row r="24" spans="1:15" x14ac:dyDescent="0.2">
      <c r="A24" s="467"/>
      <c r="B24" s="97" t="s">
        <v>113</v>
      </c>
      <c r="C24" s="69">
        <v>350</v>
      </c>
      <c r="D24" s="209"/>
      <c r="E24" s="497"/>
      <c r="F24" s="496"/>
      <c r="G24" s="493"/>
      <c r="H24" s="496"/>
      <c r="I24" s="493"/>
      <c r="J24" s="496"/>
      <c r="K24" s="467"/>
      <c r="L24" s="467"/>
      <c r="M24" s="467"/>
      <c r="N24" s="467"/>
      <c r="O24" s="467"/>
    </row>
    <row r="25" spans="1:15" x14ac:dyDescent="0.2">
      <c r="A25" s="467"/>
      <c r="B25" s="97" t="s">
        <v>220</v>
      </c>
      <c r="C25" s="217">
        <f>D25*C6</f>
        <v>270367.94</v>
      </c>
      <c r="D25" s="442">
        <v>0.02</v>
      </c>
      <c r="E25" s="497"/>
      <c r="F25" s="497"/>
      <c r="G25" s="495"/>
      <c r="H25" s="497"/>
      <c r="I25" s="495"/>
      <c r="J25" s="497"/>
      <c r="K25" s="467"/>
      <c r="L25" s="467"/>
      <c r="M25" s="467"/>
      <c r="N25" s="467"/>
      <c r="O25" s="467"/>
    </row>
    <row r="26" spans="1:15" x14ac:dyDescent="0.2">
      <c r="A26" s="467"/>
      <c r="B26" s="97" t="s">
        <v>114</v>
      </c>
      <c r="C26" s="67">
        <f>SUM(C20:C25)</f>
        <v>277317.94</v>
      </c>
      <c r="D26" s="209"/>
      <c r="E26" s="497"/>
      <c r="F26" s="497"/>
      <c r="G26" s="495"/>
      <c r="H26" s="497"/>
      <c r="I26" s="495"/>
      <c r="J26" s="497"/>
      <c r="K26" s="467"/>
      <c r="L26" s="467"/>
      <c r="M26" s="467"/>
      <c r="N26" s="467"/>
      <c r="O26" s="467"/>
    </row>
    <row r="27" spans="1:15" x14ac:dyDescent="0.2">
      <c r="A27" s="467"/>
      <c r="B27" s="96" t="s">
        <v>89</v>
      </c>
      <c r="C27" s="67"/>
      <c r="D27" s="209"/>
      <c r="E27" s="497"/>
      <c r="F27" s="497"/>
      <c r="G27" s="495"/>
      <c r="H27" s="497"/>
      <c r="I27" s="495"/>
      <c r="J27" s="497"/>
      <c r="K27" s="467"/>
      <c r="L27" s="467"/>
      <c r="M27" s="467"/>
      <c r="N27" s="467"/>
      <c r="O27" s="467"/>
    </row>
    <row r="28" spans="1:15" x14ac:dyDescent="0.2">
      <c r="A28" s="467"/>
      <c r="B28" s="97" t="s">
        <v>221</v>
      </c>
      <c r="C28" s="67">
        <f>D28*C5</f>
        <v>91800</v>
      </c>
      <c r="D28" s="442">
        <v>6.0000000000000001E-3</v>
      </c>
      <c r="E28" s="499"/>
      <c r="F28" s="496"/>
      <c r="G28" s="493"/>
      <c r="H28" s="496"/>
      <c r="I28" s="493"/>
      <c r="J28" s="496"/>
      <c r="K28" s="467"/>
      <c r="L28" s="467"/>
      <c r="M28" s="467"/>
      <c r="N28" s="467"/>
      <c r="O28" s="467"/>
    </row>
    <row r="29" spans="1:15" x14ac:dyDescent="0.2">
      <c r="A29" s="467"/>
      <c r="B29" s="97" t="s">
        <v>40</v>
      </c>
      <c r="C29" s="69">
        <v>600</v>
      </c>
      <c r="D29" s="209"/>
      <c r="E29" s="497"/>
      <c r="F29" s="493"/>
      <c r="G29" s="493"/>
      <c r="H29" s="496"/>
      <c r="I29" s="493"/>
      <c r="J29" s="493"/>
      <c r="K29" s="467"/>
      <c r="L29" s="467"/>
      <c r="M29" s="467"/>
      <c r="N29" s="467"/>
      <c r="O29" s="467"/>
    </row>
    <row r="30" spans="1:15" x14ac:dyDescent="0.2">
      <c r="A30" s="467"/>
      <c r="B30" s="97" t="s">
        <v>41</v>
      </c>
      <c r="C30" s="69">
        <v>207</v>
      </c>
      <c r="D30" s="209"/>
      <c r="E30" s="497"/>
      <c r="F30" s="496"/>
      <c r="G30" s="493"/>
      <c r="H30" s="496"/>
      <c r="I30" s="493"/>
      <c r="J30" s="496"/>
      <c r="K30" s="467"/>
      <c r="L30" s="467"/>
      <c r="M30" s="467"/>
      <c r="N30" s="467"/>
      <c r="O30" s="467"/>
    </row>
    <row r="31" spans="1:15" ht="12.75" x14ac:dyDescent="0.2">
      <c r="A31" s="467"/>
      <c r="B31" s="97" t="s">
        <v>222</v>
      </c>
      <c r="C31" s="67">
        <f>D31*C5</f>
        <v>74970</v>
      </c>
      <c r="D31" s="210">
        <v>4.8999999999999998E-3</v>
      </c>
      <c r="E31" s="852" t="s">
        <v>366</v>
      </c>
      <c r="F31" s="496"/>
      <c r="G31" s="493"/>
      <c r="H31" s="496"/>
      <c r="I31" s="493"/>
      <c r="J31" s="496"/>
      <c r="K31" s="467"/>
      <c r="L31" s="467"/>
      <c r="M31" s="467"/>
      <c r="N31" s="467"/>
      <c r="O31" s="467"/>
    </row>
    <row r="32" spans="1:15" x14ac:dyDescent="0.2">
      <c r="A32" s="467"/>
      <c r="B32" s="97" t="s">
        <v>115</v>
      </c>
      <c r="C32" s="69">
        <v>500</v>
      </c>
      <c r="D32" s="209"/>
      <c r="E32" s="497"/>
      <c r="F32" s="496"/>
      <c r="G32" s="493"/>
      <c r="H32" s="496"/>
      <c r="I32" s="493"/>
      <c r="J32" s="496"/>
      <c r="K32" s="467"/>
      <c r="L32" s="467"/>
      <c r="M32" s="467"/>
      <c r="N32" s="467"/>
      <c r="O32" s="467"/>
    </row>
    <row r="33" spans="1:15" x14ac:dyDescent="0.2">
      <c r="A33" s="467"/>
      <c r="B33" s="97" t="s">
        <v>116</v>
      </c>
      <c r="C33" s="69">
        <v>400</v>
      </c>
      <c r="D33" s="209"/>
      <c r="E33" s="497"/>
      <c r="F33" s="496"/>
      <c r="G33" s="493"/>
      <c r="H33" s="496"/>
      <c r="I33" s="493"/>
      <c r="J33" s="496"/>
      <c r="K33" s="467"/>
      <c r="L33" s="467"/>
      <c r="M33" s="467"/>
      <c r="N33" s="467"/>
      <c r="O33" s="467"/>
    </row>
    <row r="34" spans="1:15" x14ac:dyDescent="0.2">
      <c r="A34" s="467"/>
      <c r="B34" s="97" t="s">
        <v>303</v>
      </c>
      <c r="C34" s="98">
        <v>3000</v>
      </c>
      <c r="D34" s="209"/>
      <c r="E34" s="500"/>
      <c r="F34" s="496"/>
      <c r="G34" s="493"/>
      <c r="H34" s="496"/>
      <c r="I34" s="493"/>
      <c r="J34" s="496"/>
      <c r="K34" s="467"/>
      <c r="L34" s="467"/>
      <c r="M34" s="467"/>
      <c r="N34" s="467"/>
      <c r="O34" s="467"/>
    </row>
    <row r="35" spans="1:15" x14ac:dyDescent="0.2">
      <c r="A35" s="467"/>
      <c r="B35" s="66" t="s">
        <v>117</v>
      </c>
      <c r="C35" s="67">
        <f>SUM(C28:C34)</f>
        <v>171477</v>
      </c>
      <c r="D35" s="209"/>
      <c r="E35" s="497"/>
      <c r="F35" s="496"/>
      <c r="G35" s="493"/>
      <c r="H35" s="496"/>
      <c r="I35" s="493"/>
      <c r="J35" s="496"/>
      <c r="K35" s="467"/>
      <c r="L35" s="467"/>
      <c r="M35" s="467"/>
      <c r="N35" s="467"/>
      <c r="O35" s="467"/>
    </row>
    <row r="36" spans="1:15" x14ac:dyDescent="0.2">
      <c r="A36" s="467"/>
      <c r="B36" s="66"/>
      <c r="C36" s="69"/>
      <c r="D36" s="208"/>
      <c r="E36" s="497"/>
      <c r="F36" s="496"/>
      <c r="G36" s="493"/>
      <c r="H36" s="496"/>
      <c r="I36" s="493"/>
      <c r="J36" s="496"/>
      <c r="K36" s="467"/>
      <c r="L36" s="467"/>
      <c r="M36" s="467"/>
      <c r="N36" s="467"/>
      <c r="O36" s="467"/>
    </row>
    <row r="37" spans="1:15" x14ac:dyDescent="0.2">
      <c r="A37" s="467"/>
      <c r="B37" s="96" t="s">
        <v>305</v>
      </c>
      <c r="C37" s="67"/>
      <c r="D37" s="208"/>
      <c r="E37" s="497"/>
      <c r="F37" s="496"/>
      <c r="G37" s="493"/>
      <c r="H37" s="496"/>
      <c r="I37" s="493"/>
      <c r="J37" s="496"/>
      <c r="K37" s="467"/>
      <c r="L37" s="467"/>
      <c r="M37" s="467"/>
      <c r="N37" s="467"/>
      <c r="O37" s="467"/>
    </row>
    <row r="38" spans="1:15" x14ac:dyDescent="0.2">
      <c r="A38" s="467"/>
      <c r="B38" s="97" t="s">
        <v>312</v>
      </c>
      <c r="C38" s="714">
        <v>0</v>
      </c>
      <c r="D38" s="208"/>
      <c r="E38" s="497"/>
      <c r="F38" s="496"/>
      <c r="G38" s="493"/>
      <c r="H38" s="496"/>
      <c r="I38" s="493"/>
      <c r="J38" s="496"/>
      <c r="K38" s="467"/>
      <c r="L38" s="467"/>
      <c r="M38" s="467"/>
      <c r="N38" s="467"/>
      <c r="O38" s="467"/>
    </row>
    <row r="39" spans="1:15" x14ac:dyDescent="0.2">
      <c r="A39" s="467"/>
      <c r="B39" s="97" t="s">
        <v>306</v>
      </c>
      <c r="C39" s="714">
        <v>0</v>
      </c>
      <c r="D39" s="208"/>
      <c r="E39" s="497"/>
      <c r="F39" s="496"/>
      <c r="G39" s="493"/>
      <c r="H39" s="496"/>
      <c r="I39" s="493"/>
      <c r="J39" s="496"/>
      <c r="K39" s="467"/>
      <c r="L39" s="467"/>
      <c r="M39" s="467"/>
      <c r="N39" s="467"/>
      <c r="O39" s="467"/>
    </row>
    <row r="40" spans="1:15" x14ac:dyDescent="0.2">
      <c r="A40" s="467"/>
      <c r="B40" s="97" t="s">
        <v>307</v>
      </c>
      <c r="C40" s="715">
        <v>0</v>
      </c>
      <c r="D40" s="208"/>
      <c r="E40" s="497"/>
      <c r="F40" s="496"/>
      <c r="G40" s="493"/>
      <c r="H40" s="496"/>
      <c r="I40" s="493"/>
      <c r="J40" s="496"/>
      <c r="K40" s="467"/>
      <c r="L40" s="467"/>
      <c r="M40" s="467"/>
      <c r="N40" s="467"/>
      <c r="O40" s="467"/>
    </row>
    <row r="41" spans="1:15" x14ac:dyDescent="0.2">
      <c r="A41" s="467"/>
      <c r="B41" s="66" t="s">
        <v>308</v>
      </c>
      <c r="C41" s="67">
        <f>SUM(C39:C40)</f>
        <v>0</v>
      </c>
      <c r="D41" s="208"/>
      <c r="E41" s="497"/>
      <c r="F41" s="496"/>
      <c r="G41" s="493"/>
      <c r="H41" s="496"/>
      <c r="I41" s="493"/>
      <c r="J41" s="496"/>
      <c r="K41" s="467"/>
      <c r="L41" s="467"/>
      <c r="M41" s="467"/>
      <c r="N41" s="467"/>
      <c r="O41" s="467"/>
    </row>
    <row r="42" spans="1:15" x14ac:dyDescent="0.2">
      <c r="A42" s="467"/>
      <c r="B42" s="66"/>
      <c r="C42" s="69"/>
      <c r="D42" s="208"/>
      <c r="E42" s="497"/>
      <c r="F42" s="496"/>
      <c r="G42" s="493"/>
      <c r="H42" s="496"/>
      <c r="I42" s="493"/>
      <c r="J42" s="496"/>
      <c r="K42" s="467"/>
      <c r="L42" s="467"/>
      <c r="M42" s="467"/>
      <c r="N42" s="467"/>
      <c r="O42" s="467"/>
    </row>
    <row r="43" spans="1:15" x14ac:dyDescent="0.2">
      <c r="A43" s="467"/>
      <c r="B43" s="96" t="s">
        <v>309</v>
      </c>
      <c r="C43" s="67"/>
      <c r="D43" s="208"/>
      <c r="E43" s="497"/>
      <c r="F43" s="496"/>
      <c r="G43" s="493"/>
      <c r="H43" s="496"/>
      <c r="I43" s="493"/>
      <c r="J43" s="496"/>
      <c r="K43" s="467"/>
      <c r="L43" s="467"/>
      <c r="M43" s="467"/>
      <c r="N43" s="467"/>
      <c r="O43" s="467"/>
    </row>
    <row r="44" spans="1:15" x14ac:dyDescent="0.2">
      <c r="A44" s="467"/>
      <c r="B44" s="97" t="s">
        <v>311</v>
      </c>
      <c r="C44" s="98">
        <v>0</v>
      </c>
      <c r="D44" s="208"/>
      <c r="E44" s="497"/>
      <c r="F44" s="496"/>
      <c r="G44" s="493"/>
      <c r="H44" s="496"/>
      <c r="I44" s="493"/>
      <c r="J44" s="496"/>
      <c r="K44" s="467"/>
      <c r="L44" s="467"/>
      <c r="M44" s="467"/>
      <c r="N44" s="467"/>
      <c r="O44" s="467"/>
    </row>
    <row r="45" spans="1:15" x14ac:dyDescent="0.2">
      <c r="A45" s="467"/>
      <c r="B45" s="66" t="s">
        <v>310</v>
      </c>
      <c r="C45" s="67">
        <f>SUM(C42:C44)</f>
        <v>0</v>
      </c>
      <c r="D45" s="208"/>
      <c r="E45" s="497"/>
      <c r="F45" s="496"/>
      <c r="G45" s="493"/>
      <c r="H45" s="496"/>
      <c r="I45" s="493"/>
      <c r="J45" s="496"/>
      <c r="K45" s="467"/>
      <c r="L45" s="467"/>
      <c r="M45" s="467"/>
      <c r="N45" s="467"/>
      <c r="O45" s="467"/>
    </row>
    <row r="46" spans="1:15" ht="12.75" thickBot="1" x14ac:dyDescent="0.25">
      <c r="A46" s="467"/>
      <c r="B46" s="66"/>
      <c r="C46" s="69"/>
      <c r="D46" s="208"/>
      <c r="E46" s="497"/>
      <c r="F46" s="496"/>
      <c r="G46" s="493"/>
      <c r="H46" s="496"/>
      <c r="I46" s="493"/>
      <c r="J46" s="496"/>
      <c r="K46" s="467"/>
      <c r="L46" s="467"/>
      <c r="M46" s="467"/>
      <c r="N46" s="467"/>
      <c r="O46" s="467"/>
    </row>
    <row r="47" spans="1:15" ht="12.75" thickBot="1" x14ac:dyDescent="0.25">
      <c r="A47" s="467"/>
      <c r="B47" s="269" t="s">
        <v>73</v>
      </c>
      <c r="C47" s="268">
        <f>SUM(C16:C18)+C26+C35+C41+C45</f>
        <v>472054.94</v>
      </c>
      <c r="D47" s="209"/>
      <c r="E47" s="496"/>
      <c r="F47" s="458"/>
      <c r="G47" s="467"/>
      <c r="H47" s="458"/>
      <c r="I47" s="467"/>
      <c r="J47" s="493"/>
      <c r="K47" s="467"/>
      <c r="L47" s="467"/>
      <c r="M47" s="467"/>
      <c r="N47" s="467"/>
      <c r="O47" s="467"/>
    </row>
    <row r="48" spans="1:15" ht="21" customHeight="1" thickBot="1" x14ac:dyDescent="0.25">
      <c r="A48" s="467"/>
      <c r="B48" s="266" t="s">
        <v>135</v>
      </c>
      <c r="C48" s="70"/>
      <c r="D48" s="211"/>
      <c r="E48" s="494"/>
      <c r="F48" s="458"/>
      <c r="G48" s="495"/>
      <c r="H48" s="458"/>
      <c r="I48" s="495"/>
      <c r="J48" s="458"/>
      <c r="K48" s="467"/>
      <c r="L48" s="467"/>
      <c r="M48" s="467"/>
      <c r="N48" s="467"/>
      <c r="O48" s="467"/>
    </row>
    <row r="49" spans="1:15" x14ac:dyDescent="0.2">
      <c r="A49" s="467"/>
      <c r="B49" s="501"/>
      <c r="C49" s="495"/>
      <c r="D49" s="495"/>
      <c r="E49" s="458"/>
      <c r="F49" s="496"/>
      <c r="G49" s="495"/>
      <c r="H49" s="496"/>
      <c r="I49" s="495"/>
      <c r="J49" s="496"/>
      <c r="K49" s="467"/>
      <c r="L49" s="467"/>
      <c r="M49" s="467"/>
      <c r="N49" s="467"/>
      <c r="O49" s="467"/>
    </row>
    <row r="50" spans="1:15" x14ac:dyDescent="0.2">
      <c r="A50" s="467"/>
      <c r="B50" s="218" t="s">
        <v>301</v>
      </c>
      <c r="C50" s="467"/>
      <c r="D50" s="467"/>
      <c r="E50" s="501"/>
      <c r="F50" s="458"/>
      <c r="G50" s="467"/>
      <c r="H50" s="458"/>
      <c r="I50" s="467"/>
      <c r="J50" s="458"/>
      <c r="K50" s="467"/>
      <c r="L50" s="467"/>
      <c r="M50" s="467"/>
      <c r="N50" s="467"/>
      <c r="O50" s="467"/>
    </row>
    <row r="51" spans="1:15" x14ac:dyDescent="0.2">
      <c r="A51" s="467"/>
      <c r="B51" s="218" t="s">
        <v>140</v>
      </c>
      <c r="C51" s="501"/>
      <c r="D51" s="501"/>
      <c r="E51" s="501"/>
      <c r="F51" s="502"/>
      <c r="G51" s="501"/>
      <c r="H51" s="458"/>
      <c r="I51" s="467"/>
      <c r="J51" s="458"/>
      <c r="K51" s="467"/>
      <c r="L51" s="467"/>
      <c r="M51" s="467"/>
      <c r="N51" s="467"/>
      <c r="O51" s="467"/>
    </row>
    <row r="52" spans="1:15" ht="12.75" x14ac:dyDescent="0.2">
      <c r="A52" s="467"/>
      <c r="B52" s="467"/>
      <c r="C52" s="451"/>
      <c r="D52" s="451"/>
      <c r="E52" s="502"/>
      <c r="F52" s="472"/>
      <c r="G52" s="501"/>
      <c r="H52" s="458"/>
      <c r="I52" s="467"/>
      <c r="J52" s="458"/>
      <c r="K52" s="467"/>
      <c r="L52" s="467"/>
      <c r="M52" s="467"/>
      <c r="N52" s="467"/>
      <c r="O52" s="467"/>
    </row>
    <row r="53" spans="1:15" ht="12.75" x14ac:dyDescent="0.2">
      <c r="A53" s="467"/>
      <c r="B53" s="467"/>
      <c r="C53" s="451"/>
      <c r="D53" s="451"/>
      <c r="E53" s="502"/>
      <c r="F53" s="472"/>
      <c r="G53" s="501"/>
      <c r="H53" s="458"/>
      <c r="I53" s="467"/>
      <c r="J53" s="458"/>
      <c r="K53" s="467"/>
      <c r="L53" s="467"/>
      <c r="M53" s="467"/>
      <c r="N53" s="467"/>
      <c r="O53" s="467"/>
    </row>
    <row r="54" spans="1:15" x14ac:dyDescent="0.2">
      <c r="A54" s="467"/>
      <c r="B54" s="467"/>
      <c r="C54" s="467"/>
      <c r="D54" s="467"/>
      <c r="E54" s="501"/>
      <c r="F54" s="458"/>
      <c r="G54" s="467"/>
      <c r="H54" s="458"/>
      <c r="I54" s="467"/>
      <c r="J54" s="458"/>
      <c r="K54" s="467"/>
      <c r="L54" s="467"/>
      <c r="M54" s="467"/>
      <c r="N54" s="467"/>
      <c r="O54" s="467"/>
    </row>
  </sheetData>
  <customSheetViews>
    <customSheetView guid="{238A3432-2201-4481-B06C-00480E9813A7}" showRuler="0">
      <selection activeCell="G17" sqref="G17"/>
      <pageMargins left="0.7" right="0.7" top="0.75" bottom="0.75" header="0.3" footer="0.3"/>
      <pageSetup orientation="portrait" horizontalDpi="300" verticalDpi="300"/>
      <headerFooter alignWithMargins="0"/>
    </customSheetView>
  </customSheetViews>
  <mergeCells count="1">
    <mergeCell ref="A1:E1"/>
  </mergeCells>
  <phoneticPr fontId="6" type="noConversion"/>
  <hyperlinks>
    <hyperlink ref="E31" r:id="rId1" xr:uid="{00000000-0004-0000-0500-000000000000}"/>
  </hyperlinks>
  <pageMargins left="0.75" right="0.75" top="1" bottom="1" header="0.5" footer="0.5"/>
  <pageSetup orientation="portrait"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O42"/>
  <sheetViews>
    <sheetView workbookViewId="0">
      <selection activeCell="D5" sqref="D5"/>
    </sheetView>
  </sheetViews>
  <sheetFormatPr defaultColWidth="8.85546875" defaultRowHeight="12.75" x14ac:dyDescent="0.2"/>
  <cols>
    <col min="1" max="1" width="5.28515625" style="140" customWidth="1"/>
    <col min="2" max="2" width="34.85546875" style="140" customWidth="1"/>
    <col min="3" max="3" width="6.42578125" style="141" customWidth="1"/>
    <col min="4" max="4" width="12.42578125" style="214" customWidth="1"/>
    <col min="5" max="5" width="17" style="214" customWidth="1"/>
    <col min="6" max="6" width="31.140625" style="140" customWidth="1"/>
    <col min="7" max="7" width="10.28515625" style="140" customWidth="1"/>
    <col min="8" max="8" width="12" style="140" bestFit="1" customWidth="1"/>
    <col min="9" max="13" width="8.85546875" style="140"/>
    <col min="14" max="15" width="9.140625" style="140" hidden="1" customWidth="1"/>
    <col min="16" max="18" width="8.85546875" style="140"/>
    <col min="19" max="19" width="29.42578125" style="140" customWidth="1"/>
    <col min="20" max="16384" width="8.85546875" style="140"/>
  </cols>
  <sheetData>
    <row r="1" spans="1:41" s="222" customFormat="1" ht="15.75" x14ac:dyDescent="0.2">
      <c r="A1" s="972" t="s">
        <v>172</v>
      </c>
      <c r="B1" s="973"/>
      <c r="C1" s="973"/>
      <c r="D1" s="973"/>
      <c r="E1" s="973"/>
      <c r="F1" s="973"/>
      <c r="G1" s="973"/>
      <c r="H1" s="973"/>
      <c r="I1" s="454"/>
      <c r="J1" s="454"/>
      <c r="K1" s="451"/>
      <c r="L1" s="451"/>
      <c r="M1" s="451"/>
      <c r="N1" s="451"/>
      <c r="O1" s="451"/>
      <c r="P1" s="452"/>
      <c r="Q1" s="452"/>
      <c r="R1" s="452"/>
      <c r="S1" s="452"/>
      <c r="T1" s="452"/>
      <c r="U1" s="452"/>
      <c r="V1" s="452"/>
      <c r="W1" s="452"/>
      <c r="X1" s="452"/>
      <c r="Y1" s="452"/>
      <c r="Z1" s="226"/>
      <c r="AA1" s="226"/>
      <c r="AB1" s="226"/>
      <c r="AC1" s="226"/>
      <c r="AD1" s="226"/>
      <c r="AE1" s="226"/>
      <c r="AF1" s="226"/>
      <c r="AG1" s="226"/>
      <c r="AH1" s="226"/>
      <c r="AI1" s="226"/>
      <c r="AJ1" s="226"/>
      <c r="AK1" s="226"/>
      <c r="AL1" s="226"/>
      <c r="AM1" s="226"/>
      <c r="AN1" s="226"/>
      <c r="AO1" s="226"/>
    </row>
    <row r="2" spans="1:41" ht="13.5" thickBot="1" x14ac:dyDescent="0.25">
      <c r="B2" s="453"/>
      <c r="D2" s="140"/>
      <c r="E2" s="451"/>
      <c r="F2" s="453"/>
      <c r="G2" s="453"/>
      <c r="H2" s="453"/>
      <c r="I2" s="453"/>
      <c r="J2" s="453"/>
      <c r="K2" s="453"/>
      <c r="L2" s="453"/>
      <c r="M2" s="453"/>
      <c r="N2" s="453"/>
      <c r="O2" s="453"/>
      <c r="P2" s="453"/>
      <c r="Q2" s="453"/>
      <c r="R2" s="453"/>
      <c r="S2" s="453"/>
      <c r="T2" s="453"/>
      <c r="U2" s="453"/>
      <c r="V2" s="453"/>
      <c r="W2" s="453"/>
      <c r="X2" s="453"/>
      <c r="Y2" s="453"/>
    </row>
    <row r="3" spans="1:41" ht="13.5" thickBot="1" x14ac:dyDescent="0.25">
      <c r="B3" s="386" t="s">
        <v>172</v>
      </c>
      <c r="C3" s="391"/>
      <c r="D3" s="392" t="s">
        <v>10</v>
      </c>
      <c r="E3" s="451"/>
      <c r="F3" s="453"/>
      <c r="G3" s="453"/>
      <c r="H3" s="453"/>
      <c r="I3" s="453"/>
      <c r="J3" s="453"/>
      <c r="K3" s="453"/>
      <c r="L3" s="453"/>
      <c r="M3" s="453"/>
      <c r="N3" s="451" t="s">
        <v>180</v>
      </c>
      <c r="O3" s="451" t="s">
        <v>181</v>
      </c>
      <c r="P3" s="453"/>
      <c r="Q3" s="453"/>
      <c r="R3" s="453"/>
      <c r="S3" s="453"/>
      <c r="T3" s="453"/>
      <c r="U3" s="453"/>
      <c r="V3" s="453"/>
      <c r="W3" s="453"/>
      <c r="X3" s="453"/>
      <c r="Y3" s="453"/>
    </row>
    <row r="4" spans="1:41" x14ac:dyDescent="0.2">
      <c r="B4" s="384" t="s">
        <v>242</v>
      </c>
      <c r="C4" s="388"/>
      <c r="D4" s="390" t="s">
        <v>179</v>
      </c>
      <c r="E4" s="506"/>
      <c r="F4" s="453"/>
      <c r="G4" s="453"/>
      <c r="H4" s="453"/>
      <c r="I4" s="453"/>
      <c r="J4" s="453"/>
      <c r="K4" s="453"/>
      <c r="L4" s="453"/>
      <c r="M4" s="453"/>
      <c r="N4" s="507" t="s">
        <v>179</v>
      </c>
      <c r="O4" s="507">
        <v>1</v>
      </c>
      <c r="P4" s="453"/>
      <c r="Q4" s="453"/>
      <c r="R4" s="453"/>
      <c r="S4" s="453"/>
      <c r="T4" s="453"/>
      <c r="U4" s="453"/>
      <c r="V4" s="453"/>
      <c r="W4" s="453"/>
      <c r="X4" s="453"/>
      <c r="Y4" s="453"/>
    </row>
    <row r="5" spans="1:41" ht="13.5" thickBot="1" x14ac:dyDescent="0.25">
      <c r="B5" s="385" t="s">
        <v>182</v>
      </c>
      <c r="C5" s="389"/>
      <c r="D5" s="387">
        <v>10</v>
      </c>
      <c r="E5" s="506"/>
      <c r="F5" s="453"/>
      <c r="G5" s="453"/>
      <c r="H5" s="453"/>
      <c r="I5" s="453"/>
      <c r="J5" s="453"/>
      <c r="K5" s="453"/>
      <c r="L5" s="453"/>
      <c r="M5" s="453"/>
      <c r="N5" s="507">
        <v>1</v>
      </c>
      <c r="O5" s="507">
        <v>2</v>
      </c>
      <c r="P5" s="453"/>
      <c r="Q5" s="453"/>
      <c r="R5" s="453"/>
      <c r="S5" s="453"/>
      <c r="T5" s="453"/>
      <c r="U5" s="453"/>
      <c r="V5" s="453"/>
      <c r="W5" s="453"/>
      <c r="X5" s="453"/>
      <c r="Y5" s="453"/>
    </row>
    <row r="6" spans="1:41" x14ac:dyDescent="0.2">
      <c r="B6" s="368"/>
      <c r="C6" s="508"/>
      <c r="E6" s="505"/>
      <c r="F6" s="453"/>
      <c r="G6" s="453"/>
      <c r="H6" s="453"/>
      <c r="I6" s="453"/>
      <c r="J6" s="453"/>
      <c r="K6" s="453"/>
      <c r="L6" s="453"/>
      <c r="M6" s="453"/>
      <c r="N6" s="507">
        <v>2</v>
      </c>
      <c r="O6" s="507">
        <v>3</v>
      </c>
      <c r="P6" s="453"/>
      <c r="Q6" s="453"/>
      <c r="R6" s="453"/>
      <c r="S6" s="740" t="str">
        <f>About!B3</f>
        <v>Key Metric</v>
      </c>
      <c r="T6" s="747" t="str">
        <f>About!C3</f>
        <v>Minimum Criteria</v>
      </c>
      <c r="U6" s="453"/>
      <c r="V6" s="453"/>
      <c r="W6" s="453"/>
      <c r="X6" s="453"/>
      <c r="Y6" s="453"/>
    </row>
    <row r="7" spans="1:41" x14ac:dyDescent="0.2">
      <c r="B7" s="366" t="s">
        <v>243</v>
      </c>
      <c r="C7" s="212"/>
      <c r="D7" s="367" t="str">
        <f>D4</f>
        <v>NA</v>
      </c>
      <c r="E7" s="213"/>
      <c r="F7" s="366" t="s">
        <v>198</v>
      </c>
      <c r="G7" s="141"/>
      <c r="H7" s="509">
        <f>D5</f>
        <v>10</v>
      </c>
      <c r="I7" s="453"/>
      <c r="J7" s="453"/>
      <c r="K7" s="453"/>
      <c r="L7" s="453"/>
      <c r="M7" s="453"/>
      <c r="N7" s="507">
        <v>3</v>
      </c>
      <c r="O7" s="507">
        <v>4</v>
      </c>
      <c r="P7" s="453"/>
      <c r="Q7" s="453"/>
      <c r="R7" s="453"/>
      <c r="S7" s="297" t="str">
        <f>About!B4</f>
        <v>Debt Coverage Ratio (DCR)</v>
      </c>
      <c r="T7" s="741">
        <f>Summary!V7</f>
        <v>1.25</v>
      </c>
      <c r="U7" s="742"/>
      <c r="V7" s="453"/>
      <c r="W7" s="453"/>
      <c r="X7" s="453"/>
      <c r="Y7" s="453"/>
    </row>
    <row r="8" spans="1:41" ht="13.5" thickBot="1" x14ac:dyDescent="0.25">
      <c r="B8" s="369"/>
      <c r="C8" s="212"/>
      <c r="D8" s="367"/>
      <c r="E8" s="213"/>
      <c r="F8" s="366"/>
      <c r="G8" s="141"/>
      <c r="H8" s="509"/>
      <c r="I8" s="453"/>
      <c r="J8" s="453"/>
      <c r="K8" s="453"/>
      <c r="L8" s="453"/>
      <c r="M8" s="453"/>
      <c r="N8" s="507">
        <v>4</v>
      </c>
      <c r="O8" s="507">
        <v>5</v>
      </c>
      <c r="P8" s="453"/>
      <c r="Q8" s="453"/>
      <c r="R8" s="453"/>
      <c r="S8" s="297" t="str">
        <f>About!B6</f>
        <v>Internal Rate of Return (IRR)</v>
      </c>
      <c r="T8" s="36">
        <f>Summary!V9</f>
        <v>0.13</v>
      </c>
      <c r="U8" s="742"/>
      <c r="V8" s="453"/>
      <c r="W8" s="453"/>
      <c r="X8" s="453"/>
      <c r="Y8" s="453"/>
    </row>
    <row r="9" spans="1:41" x14ac:dyDescent="0.2">
      <c r="B9" s="72" t="s">
        <v>11</v>
      </c>
      <c r="C9" s="73"/>
      <c r="D9" s="74">
        <f ca="1">IF(D7="NA",0,OFFSET('P&amp;L'!D32,0,D7*2-2))</f>
        <v>0</v>
      </c>
      <c r="E9" s="34"/>
      <c r="F9" s="72" t="s">
        <v>11</v>
      </c>
      <c r="G9" s="73"/>
      <c r="H9" s="74">
        <f ca="1">OFFSET('P&amp;L'!D32,0,H7*2-2)</f>
        <v>1630604.1882212576</v>
      </c>
      <c r="J9" s="453"/>
      <c r="K9" s="453"/>
      <c r="L9" s="453"/>
      <c r="M9" s="453"/>
      <c r="N9" s="507">
        <v>5</v>
      </c>
      <c r="O9" s="507">
        <v>6</v>
      </c>
      <c r="P9" s="453"/>
      <c r="Q9" s="453"/>
      <c r="R9" s="453"/>
      <c r="S9" s="297" t="str">
        <f>About!B7</f>
        <v>Expenses</v>
      </c>
      <c r="T9" s="36">
        <f>Summary!V10</f>
        <v>0.5</v>
      </c>
      <c r="U9" s="742"/>
      <c r="V9" s="453"/>
      <c r="W9" s="453"/>
      <c r="X9" s="453"/>
      <c r="Y9" s="453"/>
    </row>
    <row r="10" spans="1:41" x14ac:dyDescent="0.2">
      <c r="B10" s="65" t="s">
        <v>174</v>
      </c>
      <c r="C10" s="75"/>
      <c r="D10" s="90">
        <v>7.4999999999999997E-2</v>
      </c>
      <c r="E10" s="92"/>
      <c r="F10" s="65" t="s">
        <v>24</v>
      </c>
      <c r="G10" s="75"/>
      <c r="H10" s="90">
        <f>Summary!D22</f>
        <v>0.08</v>
      </c>
      <c r="J10" s="453"/>
      <c r="K10" s="453"/>
      <c r="L10" s="453"/>
      <c r="M10" s="453"/>
      <c r="N10" s="507">
        <v>6</v>
      </c>
      <c r="O10" s="507">
        <v>7</v>
      </c>
      <c r="P10" s="453"/>
      <c r="Q10" s="453"/>
      <c r="R10" s="453"/>
      <c r="S10" s="297" t="str">
        <f>About!B8</f>
        <v>% of Capital Returned With Refinance</v>
      </c>
      <c r="T10" s="36">
        <f>Summary!V11</f>
        <v>0.6</v>
      </c>
      <c r="U10" s="742"/>
      <c r="V10" s="453"/>
      <c r="W10" s="453"/>
      <c r="X10" s="453"/>
      <c r="Y10" s="453"/>
    </row>
    <row r="11" spans="1:41" x14ac:dyDescent="0.2">
      <c r="B11" s="65" t="s">
        <v>165</v>
      </c>
      <c r="C11" s="75"/>
      <c r="D11" s="76">
        <f ca="1">D9/D10</f>
        <v>0</v>
      </c>
      <c r="E11" s="374"/>
      <c r="F11" s="65" t="s">
        <v>35</v>
      </c>
      <c r="G11" s="75"/>
      <c r="H11" s="76">
        <f ca="1">H9/H10</f>
        <v>20382552.35276572</v>
      </c>
      <c r="J11" s="453"/>
      <c r="K11" s="453"/>
      <c r="L11" s="453"/>
      <c r="M11" s="453"/>
      <c r="N11" s="507">
        <v>7</v>
      </c>
      <c r="O11" s="507">
        <v>8</v>
      </c>
      <c r="P11" s="453"/>
      <c r="Q11" s="453"/>
      <c r="R11" s="453"/>
      <c r="S11" s="297" t="str">
        <f>About!B9</f>
        <v>Average Cash on Cash (COC) Return</v>
      </c>
      <c r="T11" s="36">
        <f>Summary!V12</f>
        <v>0.09</v>
      </c>
      <c r="U11" s="742"/>
      <c r="V11" s="453"/>
      <c r="W11" s="453"/>
      <c r="X11" s="453"/>
      <c r="Y11" s="453"/>
    </row>
    <row r="12" spans="1:41" x14ac:dyDescent="0.2">
      <c r="B12" s="65" t="s">
        <v>166</v>
      </c>
      <c r="C12" s="75"/>
      <c r="D12" s="364">
        <v>0.8</v>
      </c>
      <c r="E12" s="733"/>
      <c r="F12" s="65" t="s">
        <v>137</v>
      </c>
      <c r="G12" s="895">
        <v>0.04</v>
      </c>
      <c r="H12" s="76">
        <f ca="1">-G12*H11</f>
        <v>-815302.09411062882</v>
      </c>
      <c r="J12" s="453"/>
      <c r="K12" s="453"/>
      <c r="L12" s="453"/>
      <c r="M12" s="453"/>
      <c r="N12" s="507">
        <v>8</v>
      </c>
      <c r="O12" s="507">
        <v>9</v>
      </c>
      <c r="P12" s="453"/>
      <c r="Q12" s="453"/>
      <c r="R12" s="453"/>
      <c r="S12" s="297"/>
      <c r="T12" s="787"/>
      <c r="U12" s="453"/>
      <c r="V12" s="453"/>
      <c r="W12" s="453"/>
      <c r="X12" s="453"/>
      <c r="Y12" s="453"/>
    </row>
    <row r="13" spans="1:41" x14ac:dyDescent="0.2">
      <c r="B13" s="65" t="s">
        <v>13</v>
      </c>
      <c r="C13" s="75"/>
      <c r="D13" s="376">
        <f>Summary!D13</f>
        <v>4.7500000000000001E-2</v>
      </c>
      <c r="E13" s="374"/>
      <c r="F13" s="65" t="s">
        <v>59</v>
      </c>
      <c r="G13" s="75"/>
      <c r="H13" s="77">
        <f ca="1">-OFFSET(Loans!C33,0,H7-1)</f>
        <v>-11469520.251148351</v>
      </c>
      <c r="J13" s="453"/>
      <c r="K13" s="453"/>
      <c r="L13" s="453"/>
      <c r="M13" s="453"/>
      <c r="N13" s="507">
        <v>9</v>
      </c>
      <c r="O13" s="507">
        <v>10</v>
      </c>
      <c r="P13" s="453"/>
      <c r="Q13" s="453"/>
      <c r="R13" s="453"/>
      <c r="S13" s="453"/>
      <c r="T13" s="453"/>
      <c r="U13" s="453"/>
      <c r="V13" s="453"/>
      <c r="W13" s="453"/>
      <c r="X13" s="453"/>
      <c r="Y13" s="453"/>
    </row>
    <row r="14" spans="1:41" x14ac:dyDescent="0.2">
      <c r="B14" s="65" t="s">
        <v>173</v>
      </c>
      <c r="C14" s="75"/>
      <c r="D14" s="373">
        <v>25</v>
      </c>
      <c r="E14" s="374"/>
      <c r="F14" s="65" t="s">
        <v>67</v>
      </c>
      <c r="G14" s="75"/>
      <c r="H14" s="76">
        <f ca="1">SUM(H11:H13)</f>
        <v>8097730.0075067393</v>
      </c>
      <c r="J14" s="453"/>
      <c r="K14" s="453"/>
      <c r="L14" s="453"/>
      <c r="M14" s="453"/>
      <c r="N14" s="507"/>
      <c r="O14" s="453"/>
      <c r="P14" s="453"/>
      <c r="Q14" s="453"/>
      <c r="R14" s="453"/>
      <c r="S14" s="453"/>
      <c r="T14" s="453"/>
      <c r="U14" s="453"/>
      <c r="V14" s="453"/>
      <c r="W14" s="453"/>
      <c r="X14" s="453"/>
      <c r="Y14" s="453"/>
    </row>
    <row r="15" spans="1:41" x14ac:dyDescent="0.2">
      <c r="B15" s="65" t="s">
        <v>167</v>
      </c>
      <c r="C15" s="75"/>
      <c r="D15" s="76">
        <f ca="1">D12*D11</f>
        <v>0</v>
      </c>
      <c r="E15" s="374"/>
      <c r="F15" s="65" t="s">
        <v>61</v>
      </c>
      <c r="G15" s="75"/>
      <c r="H15" s="77">
        <f>D29</f>
        <v>3697210.9879999999</v>
      </c>
      <c r="J15" s="453"/>
      <c r="K15" s="453"/>
      <c r="L15" s="453"/>
      <c r="M15" s="453"/>
      <c r="N15" s="453"/>
      <c r="O15" s="453"/>
      <c r="P15" s="453"/>
      <c r="Q15" s="453"/>
      <c r="R15" s="453"/>
      <c r="S15" s="453"/>
      <c r="T15" s="453"/>
      <c r="U15" s="453"/>
      <c r="V15" s="453"/>
      <c r="W15" s="453"/>
      <c r="X15" s="453"/>
      <c r="Y15" s="453"/>
    </row>
    <row r="16" spans="1:41" x14ac:dyDescent="0.2">
      <c r="B16" s="365" t="s">
        <v>168</v>
      </c>
      <c r="C16" s="895">
        <v>0.02</v>
      </c>
      <c r="D16" s="76">
        <f ca="1">-C16*D11</f>
        <v>0</v>
      </c>
      <c r="E16" s="374"/>
      <c r="F16" s="65" t="s">
        <v>190</v>
      </c>
      <c r="G16" s="75"/>
      <c r="H16" s="76">
        <f ca="1">H14-H15</f>
        <v>4400519.0195067395</v>
      </c>
      <c r="J16" s="453"/>
      <c r="K16" s="453"/>
      <c r="L16" s="453"/>
      <c r="M16" s="453"/>
      <c r="N16" s="453"/>
      <c r="O16" s="453"/>
      <c r="P16" s="453"/>
      <c r="Q16" s="453"/>
      <c r="R16" s="453"/>
      <c r="S16" s="453"/>
      <c r="T16" s="453"/>
      <c r="U16" s="453"/>
      <c r="V16" s="453"/>
      <c r="W16" s="453"/>
      <c r="X16" s="453"/>
      <c r="Y16" s="453"/>
    </row>
    <row r="17" spans="1:25" x14ac:dyDescent="0.2">
      <c r="B17" s="362" t="s">
        <v>169</v>
      </c>
      <c r="C17" s="363"/>
      <c r="D17" s="77">
        <f ca="1">IF(D7="NA",0,-OFFSET(Loans!C33,0,D7-1))</f>
        <v>0</v>
      </c>
      <c r="E17" s="988" t="str">
        <f>About!E8</f>
        <v/>
      </c>
      <c r="F17" s="146" t="s">
        <v>128</v>
      </c>
      <c r="G17" s="75"/>
      <c r="H17" s="147">
        <f ca="1">OFFSET(Loans!C31,0,H7-1)-D23</f>
        <v>2048876.7488516499</v>
      </c>
      <c r="J17" s="453"/>
      <c r="K17" s="453"/>
      <c r="L17" s="453"/>
      <c r="M17" s="453"/>
      <c r="N17" s="453"/>
      <c r="O17" s="453"/>
      <c r="P17" s="453"/>
      <c r="Q17" s="453"/>
      <c r="R17" s="453"/>
      <c r="S17" s="453"/>
      <c r="T17" s="453"/>
      <c r="U17" s="453"/>
      <c r="V17" s="453"/>
      <c r="W17" s="453"/>
      <c r="X17" s="453"/>
      <c r="Y17" s="453"/>
    </row>
    <row r="18" spans="1:25" x14ac:dyDescent="0.2">
      <c r="B18" s="365" t="s">
        <v>170</v>
      </c>
      <c r="C18" s="75"/>
      <c r="D18" s="76">
        <f ca="1">SUM(D15:D17)</f>
        <v>0</v>
      </c>
      <c r="E18" s="988"/>
      <c r="F18" s="146" t="s">
        <v>129</v>
      </c>
      <c r="G18" s="75"/>
      <c r="H18" s="147">
        <f ca="1">H16-H17</f>
        <v>2351642.2706550895</v>
      </c>
      <c r="J18" s="453"/>
      <c r="K18" s="453"/>
      <c r="L18" s="453"/>
      <c r="M18" s="453"/>
      <c r="N18" s="453"/>
      <c r="O18" s="453"/>
      <c r="P18" s="453"/>
      <c r="Q18" s="453"/>
      <c r="R18" s="453"/>
      <c r="S18" s="453"/>
      <c r="T18" s="453"/>
      <c r="U18" s="453"/>
      <c r="V18" s="453"/>
      <c r="W18" s="453"/>
      <c r="X18" s="453"/>
      <c r="Y18" s="453"/>
    </row>
    <row r="19" spans="1:25" x14ac:dyDescent="0.2">
      <c r="B19" s="65" t="s">
        <v>61</v>
      </c>
      <c r="C19" s="75"/>
      <c r="D19" s="716">
        <f>IF(D7="NA",0,IF(D18&gt;Summary!D21,Summary!D21,D18))</f>
        <v>0</v>
      </c>
      <c r="E19" s="988"/>
      <c r="F19" s="65" t="s">
        <v>66</v>
      </c>
      <c r="G19" s="78">
        <f>Summary!D45</f>
        <v>0</v>
      </c>
      <c r="H19" s="76">
        <f ca="1">IF(H16&gt;$G$19*H11,$G$19*H11,0)</f>
        <v>0</v>
      </c>
      <c r="J19" s="453"/>
      <c r="K19" s="453"/>
      <c r="L19" s="453"/>
      <c r="M19" s="453"/>
      <c r="N19" s="453"/>
      <c r="O19" s="453"/>
      <c r="P19" s="453"/>
      <c r="Q19" s="453"/>
      <c r="R19" s="453"/>
      <c r="S19" s="453"/>
      <c r="T19" s="453"/>
      <c r="U19" s="453"/>
      <c r="V19" s="453"/>
      <c r="W19" s="453"/>
      <c r="X19" s="453"/>
      <c r="Y19" s="453"/>
    </row>
    <row r="20" spans="1:25" ht="13.5" thickBot="1" x14ac:dyDescent="0.25">
      <c r="B20" s="727" t="s">
        <v>318</v>
      </c>
      <c r="C20" s="363"/>
      <c r="D20" s="728">
        <f>IF(Summary!D21=0,0,D19/Summary!D21)</f>
        <v>0</v>
      </c>
      <c r="E20" s="988"/>
      <c r="F20" s="79" t="s">
        <v>188</v>
      </c>
      <c r="G20" s="80">
        <f>Summary!D41</f>
        <v>0.8</v>
      </c>
      <c r="H20" s="81">
        <f ca="1">(H16-H19)*$G$20</f>
        <v>3520415.2156053917</v>
      </c>
      <c r="J20" s="453"/>
      <c r="K20" s="453"/>
      <c r="L20" s="453"/>
      <c r="M20" s="453"/>
      <c r="N20" s="453"/>
      <c r="O20" s="453"/>
      <c r="P20" s="453"/>
      <c r="Q20" s="453"/>
      <c r="R20" s="453"/>
      <c r="S20" s="453"/>
      <c r="T20" s="453"/>
      <c r="U20" s="453"/>
      <c r="V20" s="453"/>
      <c r="W20" s="453"/>
      <c r="X20" s="453"/>
      <c r="Y20" s="453"/>
    </row>
    <row r="21" spans="1:25" ht="13.5" thickTop="1" x14ac:dyDescent="0.2">
      <c r="B21" s="65" t="s">
        <v>193</v>
      </c>
      <c r="C21" s="75"/>
      <c r="D21" s="76">
        <f>Summary!$D$21-D19</f>
        <v>3697210.9879999999</v>
      </c>
      <c r="E21" s="988"/>
      <c r="F21" s="82" t="s">
        <v>189</v>
      </c>
      <c r="G21" s="78">
        <f>Summary!D42</f>
        <v>0.3</v>
      </c>
      <c r="H21" s="76">
        <f ca="1">(H16-H19)*$G$21</f>
        <v>1320155.7058520217</v>
      </c>
      <c r="J21" s="453"/>
      <c r="K21" s="453"/>
      <c r="L21" s="453"/>
      <c r="M21" s="453"/>
      <c r="N21" s="453"/>
      <c r="O21" s="453"/>
      <c r="P21" s="453"/>
      <c r="Q21" s="453"/>
      <c r="R21" s="453"/>
      <c r="S21" s="453"/>
      <c r="T21" s="453"/>
      <c r="U21" s="453"/>
      <c r="V21" s="453"/>
      <c r="W21" s="453"/>
      <c r="X21" s="453"/>
      <c r="Y21" s="453"/>
    </row>
    <row r="22" spans="1:25" ht="13.5" customHeight="1" thickBot="1" x14ac:dyDescent="0.25">
      <c r="B22" s="65" t="s">
        <v>191</v>
      </c>
      <c r="C22" s="75"/>
      <c r="D22" s="76">
        <f>IF(D21&gt;0,0,D18-D19)</f>
        <v>0</v>
      </c>
      <c r="E22" s="988"/>
      <c r="F22" s="991" t="s">
        <v>177</v>
      </c>
      <c r="G22" s="992"/>
      <c r="H22" s="237">
        <f ca="1">H20+H15</f>
        <v>7217626.2036053911</v>
      </c>
      <c r="J22" s="453"/>
      <c r="K22" s="453"/>
      <c r="L22" s="453"/>
      <c r="M22" s="453"/>
      <c r="N22" s="453"/>
      <c r="O22" s="453"/>
      <c r="P22" s="453"/>
      <c r="Q22" s="453"/>
      <c r="R22" s="453"/>
      <c r="S22" s="453"/>
      <c r="T22" s="453"/>
      <c r="U22" s="453"/>
      <c r="V22" s="453"/>
      <c r="W22" s="453"/>
      <c r="X22" s="453"/>
      <c r="Y22" s="453"/>
    </row>
    <row r="23" spans="1:25" x14ac:dyDescent="0.2">
      <c r="B23" s="146" t="s">
        <v>128</v>
      </c>
      <c r="C23" s="75"/>
      <c r="D23" s="147">
        <f ca="1">IF(D7="NA",0,OFFSET(Loans!C31,0,D7-1))</f>
        <v>0</v>
      </c>
      <c r="E23" s="988"/>
      <c r="F23" s="453"/>
      <c r="G23" s="453"/>
      <c r="H23" s="453"/>
      <c r="I23" s="453"/>
      <c r="J23" s="453"/>
      <c r="K23" s="453"/>
      <c r="L23" s="453"/>
      <c r="M23" s="453"/>
      <c r="N23" s="453"/>
      <c r="O23" s="453"/>
      <c r="P23" s="453"/>
      <c r="Q23" s="453"/>
      <c r="R23" s="453"/>
      <c r="S23" s="453"/>
      <c r="T23" s="453"/>
      <c r="U23" s="453"/>
      <c r="V23" s="453"/>
      <c r="W23" s="453"/>
      <c r="X23" s="453"/>
      <c r="Y23" s="453"/>
    </row>
    <row r="24" spans="1:25" x14ac:dyDescent="0.2">
      <c r="B24" s="146" t="s">
        <v>129</v>
      </c>
      <c r="C24" s="75"/>
      <c r="D24" s="147">
        <f>IF(D22=0,0,IF(D22-D23&gt;0,D22-D23,0))</f>
        <v>0</v>
      </c>
      <c r="E24" s="374"/>
      <c r="F24" s="366" t="s">
        <v>178</v>
      </c>
      <c r="G24" s="383"/>
      <c r="H24" s="375"/>
      <c r="I24" s="453"/>
      <c r="J24" s="453"/>
      <c r="K24" s="453"/>
      <c r="L24" s="453"/>
      <c r="M24" s="453"/>
      <c r="N24" s="453"/>
      <c r="O24" s="453"/>
      <c r="P24" s="453"/>
      <c r="Q24" s="453"/>
      <c r="R24" s="453"/>
      <c r="S24" s="453"/>
      <c r="T24" s="453"/>
      <c r="U24" s="453"/>
      <c r="V24" s="453"/>
      <c r="W24" s="453"/>
      <c r="X24" s="453"/>
      <c r="Y24" s="453"/>
    </row>
    <row r="25" spans="1:25" ht="13.5" thickBot="1" x14ac:dyDescent="0.25">
      <c r="B25" s="65" t="s">
        <v>66</v>
      </c>
      <c r="C25" s="78">
        <f>G19</f>
        <v>0</v>
      </c>
      <c r="D25" s="76">
        <f>IF(D21=0,IF(C25*D11&gt;D22,D22,C25*D11),0)</f>
        <v>0</v>
      </c>
      <c r="F25" s="382"/>
      <c r="G25" s="383"/>
      <c r="H25" s="375"/>
      <c r="I25" s="453"/>
      <c r="J25" s="453"/>
      <c r="K25" s="453"/>
      <c r="L25" s="453"/>
      <c r="M25" s="453"/>
      <c r="N25" s="453"/>
      <c r="O25" s="453"/>
      <c r="P25" s="453"/>
      <c r="Q25" s="453"/>
      <c r="R25" s="453"/>
      <c r="S25" s="453"/>
      <c r="T25" s="453"/>
      <c r="U25" s="453"/>
      <c r="V25" s="453"/>
      <c r="W25" s="453"/>
      <c r="X25" s="453"/>
      <c r="Y25" s="453"/>
    </row>
    <row r="26" spans="1:25" ht="14.25" customHeight="1" thickBot="1" x14ac:dyDescent="0.25">
      <c r="B26" s="79" t="s">
        <v>188</v>
      </c>
      <c r="C26" s="80">
        <f>Summary!D41</f>
        <v>0.8</v>
      </c>
      <c r="D26" s="81">
        <f>(D22-D25)*C26</f>
        <v>0</v>
      </c>
      <c r="E26" s="374"/>
      <c r="F26" s="993" t="s">
        <v>194</v>
      </c>
      <c r="G26" s="994"/>
      <c r="H26" s="718">
        <f ca="1">D26+H20</f>
        <v>3520415.2156053917</v>
      </c>
      <c r="J26" s="453"/>
      <c r="K26" s="453"/>
      <c r="L26" s="453"/>
      <c r="M26" s="453"/>
      <c r="N26" s="453"/>
      <c r="O26" s="453"/>
      <c r="P26" s="453"/>
      <c r="Q26" s="453"/>
      <c r="R26" s="453"/>
      <c r="S26" s="453"/>
      <c r="T26" s="453"/>
      <c r="U26" s="453"/>
      <c r="V26" s="453"/>
      <c r="W26" s="453"/>
      <c r="X26" s="453"/>
      <c r="Y26" s="453"/>
    </row>
    <row r="27" spans="1:25" ht="29.25" customHeight="1" thickTop="1" thickBot="1" x14ac:dyDescent="0.25">
      <c r="B27" s="82" t="s">
        <v>189</v>
      </c>
      <c r="C27" s="78">
        <f>Summary!D42</f>
        <v>0.3</v>
      </c>
      <c r="D27" s="76">
        <f>(D22-D25)*C27</f>
        <v>0</v>
      </c>
      <c r="E27" s="734"/>
      <c r="F27" s="991" t="s">
        <v>195</v>
      </c>
      <c r="G27" s="992"/>
      <c r="H27" s="237">
        <f ca="1">D28+H22</f>
        <v>7217626.2036053911</v>
      </c>
      <c r="J27" s="453"/>
      <c r="K27" s="453"/>
      <c r="L27" s="453"/>
      <c r="M27" s="453"/>
      <c r="N27" s="453"/>
      <c r="O27" s="453"/>
      <c r="P27" s="453"/>
      <c r="Q27" s="453"/>
      <c r="R27" s="453"/>
      <c r="S27" s="453"/>
      <c r="T27" s="453"/>
      <c r="U27" s="453"/>
      <c r="V27" s="453"/>
      <c r="W27" s="453"/>
      <c r="X27" s="453"/>
      <c r="Y27" s="453"/>
    </row>
    <row r="28" spans="1:25" ht="27" customHeight="1" thickBot="1" x14ac:dyDescent="0.25">
      <c r="B28" s="713" t="s">
        <v>176</v>
      </c>
      <c r="C28" s="717"/>
      <c r="D28" s="237">
        <f>D26+D19</f>
        <v>0</v>
      </c>
      <c r="E28" s="375"/>
      <c r="F28" s="989" t="s">
        <v>202</v>
      </c>
      <c r="G28" s="990"/>
      <c r="H28" s="737">
        <f ca="1">Summary!D50</f>
        <v>0.18208640301147283</v>
      </c>
      <c r="I28" s="736" t="str">
        <f ca="1">About!E6</f>
        <v>This is a solid IRR since it's at least 13.0%.</v>
      </c>
      <c r="J28" s="453"/>
      <c r="K28" s="453"/>
      <c r="L28" s="453"/>
      <c r="M28" s="453"/>
      <c r="N28" s="453"/>
      <c r="O28" s="453"/>
      <c r="P28" s="453"/>
      <c r="Q28" s="453"/>
      <c r="R28" s="453"/>
      <c r="S28" s="453"/>
      <c r="T28" s="453"/>
      <c r="U28" s="453"/>
      <c r="V28" s="453"/>
      <c r="W28" s="453"/>
      <c r="X28" s="453"/>
      <c r="Y28" s="453"/>
    </row>
    <row r="29" spans="1:25" ht="13.5" customHeight="1" thickBot="1" x14ac:dyDescent="0.25">
      <c r="B29" s="370" t="s">
        <v>192</v>
      </c>
      <c r="C29" s="371"/>
      <c r="D29" s="372">
        <f>IF(D7="NA",Summary!D21,D21)</f>
        <v>3697210.9879999999</v>
      </c>
      <c r="E29" s="451"/>
      <c r="F29" s="986" t="s">
        <v>323</v>
      </c>
      <c r="G29" s="987"/>
      <c r="H29" s="735">
        <f ca="1">Summary!D37</f>
        <v>0.13723304180126383</v>
      </c>
      <c r="I29" s="736" t="str">
        <f ca="1">About!E9</f>
        <v>The average Cash on Cash Return looks good since it's at least 9.0% over the 10 years of the investment.</v>
      </c>
      <c r="J29" s="453"/>
      <c r="K29" s="453"/>
      <c r="L29" s="453"/>
      <c r="M29" s="453"/>
      <c r="N29" s="453"/>
      <c r="O29" s="453"/>
      <c r="P29" s="453"/>
      <c r="Q29" s="453"/>
      <c r="R29" s="453"/>
      <c r="S29" s="453"/>
      <c r="T29" s="453"/>
      <c r="U29" s="453"/>
      <c r="V29" s="453"/>
      <c r="W29" s="453"/>
      <c r="X29" s="453"/>
      <c r="Y29" s="453"/>
    </row>
    <row r="30" spans="1:25" x14ac:dyDescent="0.2">
      <c r="B30" s="453"/>
      <c r="C30" s="508"/>
      <c r="D30" s="451"/>
      <c r="E30" s="505"/>
      <c r="F30" s="453"/>
      <c r="G30" s="453"/>
      <c r="H30" s="453"/>
      <c r="I30" s="453"/>
      <c r="J30" s="453"/>
      <c r="K30" s="453"/>
      <c r="L30" s="453"/>
      <c r="M30" s="453"/>
      <c r="N30" s="453"/>
      <c r="O30" s="453"/>
      <c r="P30" s="453"/>
      <c r="Q30" s="453"/>
      <c r="R30" s="453"/>
      <c r="S30" s="453"/>
      <c r="T30" s="453"/>
      <c r="U30" s="453"/>
      <c r="V30" s="453"/>
      <c r="W30" s="453"/>
      <c r="X30" s="453"/>
      <c r="Y30" s="453"/>
    </row>
    <row r="31" spans="1:25" x14ac:dyDescent="0.2">
      <c r="B31" s="218" t="s">
        <v>301</v>
      </c>
      <c r="C31" s="508"/>
      <c r="D31" s="505"/>
      <c r="E31" s="505"/>
      <c r="F31" s="453"/>
      <c r="G31" s="453"/>
      <c r="H31" s="453"/>
      <c r="I31" s="453"/>
      <c r="J31" s="453"/>
      <c r="K31" s="453"/>
      <c r="L31" s="453"/>
      <c r="M31" s="453"/>
      <c r="N31" s="453"/>
      <c r="O31" s="453"/>
      <c r="P31" s="453"/>
      <c r="Q31" s="453"/>
      <c r="R31" s="453"/>
      <c r="S31" s="453"/>
      <c r="T31" s="453"/>
      <c r="U31" s="453"/>
      <c r="V31" s="453"/>
      <c r="W31" s="453"/>
      <c r="X31" s="453"/>
      <c r="Y31" s="453"/>
    </row>
    <row r="32" spans="1:25" x14ac:dyDescent="0.2">
      <c r="A32" s="510"/>
      <c r="B32" s="218" t="s">
        <v>140</v>
      </c>
      <c r="C32" s="508"/>
      <c r="D32" s="505"/>
      <c r="E32" s="505"/>
      <c r="F32" s="451"/>
      <c r="G32" s="451"/>
      <c r="H32" s="451"/>
      <c r="I32" s="453"/>
      <c r="J32" s="451"/>
      <c r="K32" s="451"/>
      <c r="L32" s="451"/>
      <c r="M32" s="451"/>
      <c r="N32" s="451"/>
      <c r="O32" s="451"/>
      <c r="P32" s="451"/>
      <c r="Q32" s="451"/>
      <c r="R32" s="451"/>
      <c r="S32" s="451"/>
      <c r="T32" s="451"/>
      <c r="U32" s="451"/>
      <c r="V32" s="451"/>
      <c r="W32" s="451"/>
      <c r="X32" s="451"/>
      <c r="Y32" s="451"/>
    </row>
    <row r="33" spans="1:25" x14ac:dyDescent="0.2">
      <c r="B33" s="453"/>
      <c r="C33" s="451"/>
      <c r="D33" s="451"/>
      <c r="E33" s="451"/>
      <c r="F33" s="453"/>
      <c r="G33" s="453"/>
      <c r="H33" s="453"/>
      <c r="I33" s="453"/>
      <c r="J33" s="453"/>
      <c r="K33" s="453"/>
      <c r="L33" s="453"/>
      <c r="M33" s="453"/>
      <c r="N33" s="453"/>
      <c r="O33" s="453"/>
      <c r="P33" s="453"/>
      <c r="Q33" s="453"/>
      <c r="R33" s="453"/>
      <c r="S33" s="453"/>
      <c r="T33" s="453"/>
      <c r="U33" s="453"/>
      <c r="V33" s="453"/>
      <c r="W33" s="453"/>
      <c r="X33" s="453"/>
      <c r="Y33" s="453"/>
    </row>
    <row r="34" spans="1:25" x14ac:dyDescent="0.2">
      <c r="B34" s="453"/>
      <c r="C34" s="451"/>
      <c r="D34" s="451"/>
      <c r="E34" s="451"/>
      <c r="F34" s="453"/>
      <c r="G34" s="453"/>
      <c r="H34" s="453"/>
      <c r="I34" s="453"/>
      <c r="J34" s="453"/>
      <c r="K34" s="453"/>
      <c r="L34" s="453"/>
      <c r="M34" s="453"/>
      <c r="N34" s="453"/>
      <c r="O34" s="453"/>
      <c r="P34" s="453"/>
      <c r="Q34" s="453"/>
      <c r="R34" s="453"/>
      <c r="S34" s="453"/>
      <c r="T34" s="453"/>
      <c r="U34" s="453"/>
      <c r="V34" s="453"/>
      <c r="W34" s="453"/>
      <c r="X34" s="453"/>
      <c r="Y34" s="453"/>
    </row>
    <row r="35" spans="1:25" x14ac:dyDescent="0.2">
      <c r="A35" s="453"/>
      <c r="B35" s="453"/>
      <c r="C35" s="451"/>
      <c r="D35" s="451"/>
      <c r="E35" s="451"/>
      <c r="F35" s="453"/>
      <c r="G35" s="453"/>
      <c r="H35" s="453"/>
      <c r="I35" s="453"/>
      <c r="J35" s="453"/>
      <c r="K35" s="453"/>
      <c r="L35" s="453"/>
      <c r="M35" s="453"/>
      <c r="N35" s="453"/>
      <c r="O35" s="453"/>
      <c r="P35" s="453"/>
      <c r="Q35" s="453"/>
      <c r="R35" s="453"/>
      <c r="S35" s="453"/>
      <c r="T35" s="453"/>
      <c r="U35" s="453"/>
      <c r="V35" s="453"/>
      <c r="W35" s="453"/>
      <c r="X35" s="453"/>
      <c r="Y35" s="453"/>
    </row>
    <row r="36" spans="1:25" s="215" customFormat="1" x14ac:dyDescent="0.2"/>
    <row r="37" spans="1:25" x14ac:dyDescent="0.2">
      <c r="C37" s="140"/>
      <c r="D37" s="140"/>
      <c r="E37" s="140"/>
    </row>
    <row r="38" spans="1:25" x14ac:dyDescent="0.2">
      <c r="C38" s="140"/>
      <c r="D38" s="140"/>
      <c r="E38" s="140"/>
    </row>
    <row r="39" spans="1:25" x14ac:dyDescent="0.2">
      <c r="C39" s="140"/>
      <c r="D39" s="140"/>
      <c r="E39" s="140"/>
    </row>
    <row r="40" spans="1:25" x14ac:dyDescent="0.2">
      <c r="C40" s="140"/>
      <c r="D40" s="140"/>
      <c r="E40" s="140"/>
    </row>
    <row r="41" spans="1:25" x14ac:dyDescent="0.2">
      <c r="C41" s="140"/>
      <c r="D41" s="140"/>
      <c r="E41" s="140"/>
    </row>
    <row r="42" spans="1:25" x14ac:dyDescent="0.2">
      <c r="C42" s="140"/>
      <c r="D42" s="140"/>
      <c r="E42" s="140"/>
    </row>
  </sheetData>
  <customSheetViews>
    <customSheetView guid="{238A3432-2201-4481-B06C-00480E9813A7}" showRuler="0">
      <selection activeCell="I16" sqref="I16"/>
      <pageMargins left="0.7" right="0.7" top="0.75" bottom="0.75" header="0.3" footer="0.3"/>
      <pageSetup orientation="portrait" horizontalDpi="0" verticalDpi="0"/>
      <headerFooter alignWithMargins="0"/>
    </customSheetView>
  </customSheetViews>
  <mergeCells count="7">
    <mergeCell ref="F29:G29"/>
    <mergeCell ref="E17:E23"/>
    <mergeCell ref="F28:G28"/>
    <mergeCell ref="A1:H1"/>
    <mergeCell ref="F27:G27"/>
    <mergeCell ref="F22:G22"/>
    <mergeCell ref="F26:G26"/>
  </mergeCells>
  <phoneticPr fontId="0" type="noConversion"/>
  <conditionalFormatting sqref="H28">
    <cfRule type="cellIs" priority="1" stopIfTrue="1" operator="equal">
      <formula>0</formula>
    </cfRule>
    <cfRule type="cellIs" dxfId="20" priority="2" stopIfTrue="1" operator="greaterThanOrEqual">
      <formula>$T$8</formula>
    </cfRule>
    <cfRule type="cellIs" dxfId="19" priority="3" stopIfTrue="1" operator="lessThan">
      <formula>$T$8</formula>
    </cfRule>
  </conditionalFormatting>
  <conditionalFormatting sqref="H29">
    <cfRule type="cellIs" priority="4" stopIfTrue="1" operator="equal">
      <formula>0</formula>
    </cfRule>
    <cfRule type="cellIs" dxfId="18" priority="5" stopIfTrue="1" operator="greaterThanOrEqual">
      <formula>$T$11</formula>
    </cfRule>
    <cfRule type="cellIs" dxfId="17" priority="6" stopIfTrue="1" operator="lessThan">
      <formula>$T$11</formula>
    </cfRule>
  </conditionalFormatting>
  <conditionalFormatting sqref="D20">
    <cfRule type="cellIs" priority="7" stopIfTrue="1" operator="equal">
      <formula>0</formula>
    </cfRule>
    <cfRule type="cellIs" dxfId="16" priority="8" stopIfTrue="1" operator="lessThan">
      <formula>$T$10</formula>
    </cfRule>
    <cfRule type="cellIs" dxfId="15" priority="9" stopIfTrue="1" operator="greaterThanOrEqual">
      <formula>$T$10</formula>
    </cfRule>
  </conditionalFormatting>
  <dataValidations count="2">
    <dataValidation type="list" allowBlank="1" showInputMessage="1" showErrorMessage="1" promptTitle="TIP" prompt="Make sure this number is less than the Year of the final Disposition. NA = No Cash Out ReFinance" sqref="D4" xr:uid="{00000000-0002-0000-0600-000000000000}">
      <formula1>$N$4:$N$13</formula1>
    </dataValidation>
    <dataValidation type="list" allowBlank="1" showInputMessage="1" showErrorMessage="1" promptTitle="TIP" prompt="Make Sure this Year is greater than the Re-Fi Year!" sqref="D5" xr:uid="{00000000-0002-0000-0600-000001000000}">
      <formula1>$O$4:$O$13</formula1>
    </dataValidation>
  </dataValidations>
  <pageMargins left="0.47" right="0.55000000000000004" top="1" bottom="1" header="0.5" footer="0.5"/>
  <pageSetup orientation="landscape" horizontalDpi="1200" verticalDpi="1200"/>
  <headerFooter alignWithMargins="0"/>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outlinePr summaryBelow="0" summaryRight="0"/>
  </sheetPr>
  <dimension ref="A1:AE136"/>
  <sheetViews>
    <sheetView tabSelected="1" zoomScaleNormal="100" workbookViewId="0">
      <selection activeCell="B3" sqref="B3"/>
    </sheetView>
  </sheetViews>
  <sheetFormatPr defaultColWidth="8.85546875" defaultRowHeight="12" outlineLevelRow="1" x14ac:dyDescent="0.2"/>
  <cols>
    <col min="1" max="1" width="3.140625" style="71" customWidth="1"/>
    <col min="2" max="2" width="40.7109375" style="71" customWidth="1"/>
    <col min="3" max="12" width="10.28515625" style="71" customWidth="1"/>
    <col min="13" max="13" width="10.85546875" style="71" bestFit="1" customWidth="1"/>
    <col min="14" max="14" width="10.7109375" style="71" customWidth="1"/>
    <col min="15" max="19" width="8.85546875" style="71"/>
    <col min="20" max="20" width="23.140625" style="71" customWidth="1"/>
    <col min="21" max="25" width="8.85546875" style="71"/>
    <col min="26" max="26" width="22" style="71" customWidth="1"/>
    <col min="27" max="27" width="13.85546875" style="71" customWidth="1"/>
    <col min="28" max="16384" width="8.85546875" style="71"/>
  </cols>
  <sheetData>
    <row r="1" spans="1:31" s="222" customFormat="1" ht="15.75" x14ac:dyDescent="0.2">
      <c r="A1" s="972" t="s">
        <v>138</v>
      </c>
      <c r="B1" s="995"/>
      <c r="C1" s="995"/>
      <c r="D1" s="995"/>
      <c r="E1" s="995"/>
      <c r="F1" s="995"/>
      <c r="G1" s="995"/>
      <c r="H1" s="995"/>
      <c r="I1" s="995"/>
      <c r="J1" s="995"/>
      <c r="K1" s="983"/>
      <c r="L1" s="983"/>
      <c r="M1" s="983"/>
      <c r="N1" s="983"/>
      <c r="O1" s="226"/>
      <c r="P1" s="226"/>
      <c r="Q1" s="226"/>
      <c r="R1" s="226"/>
      <c r="S1" s="226"/>
      <c r="T1" s="226"/>
      <c r="U1" s="226"/>
      <c r="V1" s="226"/>
      <c r="W1" s="226"/>
      <c r="X1" s="226"/>
      <c r="Y1" s="226"/>
      <c r="Z1" s="226"/>
      <c r="AA1" s="226"/>
      <c r="AB1" s="226"/>
      <c r="AC1" s="226"/>
    </row>
    <row r="3" spans="1:31" x14ac:dyDescent="0.2">
      <c r="B3" s="394" t="s">
        <v>70</v>
      </c>
      <c r="C3" s="204"/>
      <c r="D3" s="204"/>
      <c r="E3" s="204"/>
    </row>
    <row r="4" spans="1:31" ht="12.75" thickBot="1" x14ac:dyDescent="0.25">
      <c r="B4" s="205"/>
      <c r="C4" s="395" t="str">
        <f>IF(C5='Exit Strategies'!$D$4,"REFINANCE!",IF(C5='Exit Strategies'!$D$5,"SALE!",""))</f>
        <v/>
      </c>
      <c r="D4" s="395" t="str">
        <f>IF(D5='Exit Strategies'!$D$4,"REFINANCE!",IF(D5='Exit Strategies'!$D$5,"SALE!",""))</f>
        <v/>
      </c>
      <c r="E4" s="395" t="str">
        <f>IF(E5='Exit Strategies'!$D$4,"REFINANCE!",IF(E5='Exit Strategies'!$D$5,"SALE!",""))</f>
        <v/>
      </c>
      <c r="F4" s="395" t="str">
        <f>IF(F5='Exit Strategies'!$D$4,"REFINANCE!",IF(F5='Exit Strategies'!$D$5,"SALE!",""))</f>
        <v/>
      </c>
      <c r="G4" s="395" t="str">
        <f>IF(G5='Exit Strategies'!$D$4,"REFINANCE!",IF(G5='Exit Strategies'!$D$5,"SALE!",""))</f>
        <v/>
      </c>
      <c r="H4" s="395" t="str">
        <f>IF(H5='Exit Strategies'!$D$4,"REFINANCE!",IF(H5='Exit Strategies'!$D$5,"SALE!",""))</f>
        <v/>
      </c>
      <c r="I4" s="395" t="str">
        <f>IF(I5='Exit Strategies'!$D$4,"REFINANCE!",IF(I5='Exit Strategies'!$D$5,"SALE!",""))</f>
        <v/>
      </c>
      <c r="J4" s="395" t="str">
        <f>IF(J5='Exit Strategies'!$D$4,"REFINANCE!",IF(J5='Exit Strategies'!$D$5,"SALE!",""))</f>
        <v/>
      </c>
      <c r="K4" s="395" t="str">
        <f>IF(K5='Exit Strategies'!$D$4,"REFINANCE!",IF(K5='Exit Strategies'!$D$5,"SALE!",""))</f>
        <v/>
      </c>
      <c r="L4" s="395" t="str">
        <f>IF(L5='Exit Strategies'!$D$4,"REFINANCE!",IF(L5='Exit Strategies'!$D$5,"SALE!",""))</f>
        <v>SALE!</v>
      </c>
    </row>
    <row r="5" spans="1:31" ht="12.75" thickBot="1" x14ac:dyDescent="0.25">
      <c r="B5" s="407"/>
      <c r="C5" s="411">
        <v>1</v>
      </c>
      <c r="D5" s="411">
        <f>C5+1</f>
        <v>2</v>
      </c>
      <c r="E5" s="411">
        <f t="shared" ref="E5:L5" si="0">D5+1</f>
        <v>3</v>
      </c>
      <c r="F5" s="411">
        <f t="shared" si="0"/>
        <v>4</v>
      </c>
      <c r="G5" s="411">
        <f t="shared" si="0"/>
        <v>5</v>
      </c>
      <c r="H5" s="411">
        <f t="shared" si="0"/>
        <v>6</v>
      </c>
      <c r="I5" s="411">
        <f t="shared" si="0"/>
        <v>7</v>
      </c>
      <c r="J5" s="411">
        <f t="shared" si="0"/>
        <v>8</v>
      </c>
      <c r="K5" s="411">
        <f t="shared" si="0"/>
        <v>9</v>
      </c>
      <c r="L5" s="411">
        <f t="shared" si="0"/>
        <v>10</v>
      </c>
      <c r="M5" s="411" t="s">
        <v>79</v>
      </c>
      <c r="N5" s="412" t="s">
        <v>78</v>
      </c>
      <c r="U5" s="212"/>
    </row>
    <row r="6" spans="1:31" x14ac:dyDescent="0.2">
      <c r="B6" s="420" t="s">
        <v>196</v>
      </c>
      <c r="C6" s="408">
        <f>Summary!$D$21</f>
        <v>3697210.9879999999</v>
      </c>
      <c r="D6" s="408">
        <f>IF(D5&gt;'Exit Strategies'!$H$7,"",C13)</f>
        <v>3697210.9879999999</v>
      </c>
      <c r="E6" s="408">
        <f>IF(E5&gt;'Exit Strategies'!$H$7,"",D13)</f>
        <v>3697210.9879999999</v>
      </c>
      <c r="F6" s="408">
        <f>IF(F5&gt;'Exit Strategies'!$H$7,"",E13)</f>
        <v>3697210.9879999999</v>
      </c>
      <c r="G6" s="408">
        <f>IF(G5&gt;'Exit Strategies'!$H$7,"",F13)</f>
        <v>3697210.9879999999</v>
      </c>
      <c r="H6" s="408">
        <f>IF(H5&gt;'Exit Strategies'!$H$7,"",G13)</f>
        <v>3697210.9879999999</v>
      </c>
      <c r="I6" s="408">
        <f>IF(I5&gt;'Exit Strategies'!$H$7,"",H13)</f>
        <v>3697210.9879999999</v>
      </c>
      <c r="J6" s="408">
        <f>IF(J5&gt;'Exit Strategies'!$H$7,"",I13)</f>
        <v>3697210.9879999999</v>
      </c>
      <c r="K6" s="408">
        <f>IF(K5&gt;'Exit Strategies'!$H$7,"",J13)</f>
        <v>3697210.9879999999</v>
      </c>
      <c r="L6" s="408">
        <f>IF(L5&gt;'Exit Strategies'!$H$7,"",K13)</f>
        <v>3697210.9879999999</v>
      </c>
      <c r="M6" s="801"/>
      <c r="N6" s="802"/>
      <c r="Z6" s="740" t="str">
        <f>About!B3</f>
        <v>Key Metric</v>
      </c>
      <c r="AA6" s="747" t="str">
        <f>About!C3</f>
        <v>Minimum Criteria</v>
      </c>
    </row>
    <row r="7" spans="1:31" x14ac:dyDescent="0.2">
      <c r="B7" s="811" t="s">
        <v>75</v>
      </c>
      <c r="C7" s="805">
        <f ca="1">IF('P&amp;L'!D48=0,"",'P&amp;L'!D48)</f>
        <v>624251.96895799995</v>
      </c>
      <c r="D7" s="805">
        <f ca="1">IF('P&amp;L'!F48=0,"",'P&amp;L'!F48)</f>
        <v>652982.84068800008</v>
      </c>
      <c r="E7" s="805">
        <f ca="1">IF('P&amp;L'!H48=0,"",'P&amp;L'!H48)</f>
        <v>565895.42169439967</v>
      </c>
      <c r="F7" s="805">
        <f ca="1">IF('P&amp;L'!J48=0,"",'P&amp;L'!J48)</f>
        <v>415630.02656139719</v>
      </c>
      <c r="G7" s="805">
        <f ca="1">IF('P&amp;L'!L48=0,"",'P&amp;L'!L48)</f>
        <v>341654.28769364709</v>
      </c>
      <c r="H7" s="805">
        <f ca="1">IF('P&amp;L'!N48=0,"",'P&amp;L'!N48)</f>
        <v>390236.40369756101</v>
      </c>
      <c r="I7" s="805">
        <f ca="1">IF('P&amp;L'!P48=0,"",'P&amp;L'!P48)</f>
        <v>440592.16215537343</v>
      </c>
      <c r="J7" s="805">
        <f ca="1">IF('P&amp;L'!R48=0,"",'P&amp;L'!R48)</f>
        <v>492781.09592017171</v>
      </c>
      <c r="K7" s="805">
        <f ca="1">IF('P&amp;L'!T48=0,"",'P&amp;L'!T48)</f>
        <v>546864.65030223946</v>
      </c>
      <c r="L7" s="805">
        <f ca="1">IF('P&amp;L'!V48=0,"",'P&amp;L'!V48)</f>
        <v>602906.24297216954</v>
      </c>
      <c r="M7" s="809">
        <f ca="1">SUM(C7:L7)</f>
        <v>5073795.1006429587</v>
      </c>
      <c r="N7" s="806"/>
      <c r="Z7" s="748" t="str">
        <f>About!B4</f>
        <v>Debt Coverage Ratio (DCR)</v>
      </c>
      <c r="AA7" s="750">
        <f>About!C4</f>
        <v>1.25</v>
      </c>
    </row>
    <row r="8" spans="1:31" x14ac:dyDescent="0.2">
      <c r="B8" s="420" t="s">
        <v>76</v>
      </c>
      <c r="C8" s="402">
        <f ca="1">IF(C5&gt;'Exit Strategies'!$D$5,"",IF('P&amp;L'!D52="INFINITY","INFINITY",'P&amp;L'!D52))</f>
        <v>0.16884402079949676</v>
      </c>
      <c r="D8" s="402">
        <f ca="1">IF(D5&gt;'Exit Strategies'!$D$5,"",IF('P&amp;L'!F52="INFINITY","INFINITY",'P&amp;L'!F52))</f>
        <v>0.176614978914479</v>
      </c>
      <c r="E8" s="402">
        <f ca="1">IF(E5&gt;'Exit Strategies'!$D$5,"",IF('P&amp;L'!H52="INFINITY","INFINITY",'P&amp;L'!H52))</f>
        <v>0.15306008327117945</v>
      </c>
      <c r="F8" s="402">
        <f ca="1">IF(F5&gt;'Exit Strategies'!$D$5,"",IF('P&amp;L'!J52="INFINITY","INFINITY",'P&amp;L'!J52))</f>
        <v>0.11241717822174697</v>
      </c>
      <c r="G8" s="402">
        <f ca="1">IF(G5&gt;'Exit Strategies'!$D$5,"",IF('P&amp;L'!L52="INFINITY","INFINITY",'P&amp;L'!L52))</f>
        <v>9.2408653117863962E-2</v>
      </c>
      <c r="H8" s="402">
        <f ca="1">IF(H5&gt;'Exit Strategies'!$D$5,"",IF('P&amp;L'!N52="INFINITY","INFINITY",'P&amp;L'!N52))</f>
        <v>0.10554885965776563</v>
      </c>
      <c r="I8" s="402">
        <f ca="1">IF(I5&gt;'Exit Strategies'!$D$5,"",IF('P&amp;L'!P52="INFINITY","INFINITY",'P&amp;L'!P52))</f>
        <v>0.11916879063310126</v>
      </c>
      <c r="J8" s="402">
        <f ca="1">IF(J5&gt;'Exit Strategies'!$D$5,"",IF('P&amp;L'!R52="INFINITY","INFINITY",'P&amp;L'!R52))</f>
        <v>0.13328454814171717</v>
      </c>
      <c r="K8" s="402">
        <f ca="1">IF(K5&gt;'Exit Strategies'!$D$5,"",IF('P&amp;L'!T52="INFINITY","INFINITY",'P&amp;L'!T52))</f>
        <v>0.14791275155169464</v>
      </c>
      <c r="L8" s="402">
        <f ca="1">IF(L5&gt;'Exit Strategies'!$D$5,"",IF('P&amp;L'!V52="INFINITY","INFINITY",'P&amp;L'!V52))</f>
        <v>0.16307055370359338</v>
      </c>
      <c r="M8" s="400"/>
      <c r="N8" s="804"/>
      <c r="P8" s="396"/>
      <c r="Z8" s="748" t="str">
        <f>About!B5</f>
        <v>Average Annual Return (AAR)</v>
      </c>
      <c r="AA8" s="751">
        <f>About!C5</f>
        <v>0.15</v>
      </c>
    </row>
    <row r="9" spans="1:31" x14ac:dyDescent="0.2">
      <c r="B9" s="826" t="s">
        <v>322</v>
      </c>
      <c r="C9" s="807">
        <f ca="1">IF(C6=0,"",IF(C5&gt;'Exit Strategies'!$D$5,"",AVERAGE(C8)))</f>
        <v>0.16884402079949676</v>
      </c>
      <c r="D9" s="807">
        <f ca="1">IF(D6=0,"",IF(D5&gt;'Exit Strategies'!$D$5,"",AVERAGE(C8:D8)))</f>
        <v>0.17272949985698788</v>
      </c>
      <c r="E9" s="807">
        <f ca="1">IF(E6=0,"",IF(E5&gt;'Exit Strategies'!$D$5,"",AVERAGE(C8:E8)))</f>
        <v>0.1661730276617184</v>
      </c>
      <c r="F9" s="807">
        <f ca="1">IF(F6=0,"",IF(F5&gt;'Exit Strategies'!$D$5,"",AVERAGE(C8:F8)))</f>
        <v>0.15273406530172556</v>
      </c>
      <c r="G9" s="807">
        <f ca="1">IF(G6=0,"",IF(G5&gt;'Exit Strategies'!$D$5,"",AVERAGE(C8:G8)))</f>
        <v>0.14066898286495325</v>
      </c>
      <c r="H9" s="807">
        <f ca="1">IF(H6=0,"",IF(H5&gt;'Exit Strategies'!$D$5,"",AVERAGE(C8:H8)))</f>
        <v>0.13481562899708863</v>
      </c>
      <c r="I9" s="807">
        <f ca="1">IF(I6=0,"",IF(I5&gt;'Exit Strategies'!$D$5,"",AVERAGE(C8:I8)))</f>
        <v>0.13258036637366186</v>
      </c>
      <c r="J9" s="807">
        <f ca="1">IF(J6=0,"",IF(J5&gt;'Exit Strategies'!$D$5,"",AVERAGE(C8:J8)))</f>
        <v>0.13266838909466877</v>
      </c>
      <c r="K9" s="807">
        <f ca="1">IF(K6=0,"",IF(K5&gt;'Exit Strategies'!$D$5,"",AVERAGE(C8:K8)))</f>
        <v>0.13436220714544944</v>
      </c>
      <c r="L9" s="807">
        <f ca="1">IF(L6=0,"",IF(L5&gt;'Exit Strategies'!$D$5,"",AVERAGE(C8:L8)))</f>
        <v>0.13723304180126383</v>
      </c>
      <c r="M9" s="814"/>
      <c r="N9" s="808"/>
      <c r="P9" s="396"/>
      <c r="Z9" s="748" t="str">
        <f>About!B6</f>
        <v>Internal Rate of Return (IRR)</v>
      </c>
      <c r="AA9" s="751">
        <f>About!C6</f>
        <v>0.13</v>
      </c>
    </row>
    <row r="10" spans="1:31" x14ac:dyDescent="0.2">
      <c r="B10" s="420" t="s">
        <v>187</v>
      </c>
      <c r="C10" s="403" t="str">
        <f>IF(C5='Exit Strategies'!$D$4,'Exit Strategies'!$D$26,IF(C5='Exit Strategies'!$H$7,'Exit Strategies'!$H$20,""))</f>
        <v/>
      </c>
      <c r="D10" s="403" t="str">
        <f>IF(D5='Exit Strategies'!$D$4,'Exit Strategies'!$D$26,IF(D5='Exit Strategies'!$H$7,'Exit Strategies'!$H$20,""))</f>
        <v/>
      </c>
      <c r="E10" s="403" t="str">
        <f>IF(E5='Exit Strategies'!$D$4,'Exit Strategies'!$D$26,IF(E5='Exit Strategies'!$H$7,'Exit Strategies'!$H$20,""))</f>
        <v/>
      </c>
      <c r="F10" s="403" t="str">
        <f>IF(F5='Exit Strategies'!$D$4,'Exit Strategies'!$D$26,IF(F5='Exit Strategies'!$H$7,'Exit Strategies'!$H$20,""))</f>
        <v/>
      </c>
      <c r="G10" s="403" t="str">
        <f>IF(G5='Exit Strategies'!$D$4,'Exit Strategies'!$D$26,IF(G5='Exit Strategies'!$H$7,'Exit Strategies'!$H$20,""))</f>
        <v/>
      </c>
      <c r="H10" s="403" t="str">
        <f>IF(H5='Exit Strategies'!$D$4,'Exit Strategies'!$D$26,IF(H5='Exit Strategies'!$H$7,'Exit Strategies'!$H$20,""))</f>
        <v/>
      </c>
      <c r="I10" s="403" t="str">
        <f>IF(I5='Exit Strategies'!$D$4,'Exit Strategies'!$D$26,IF(I5='Exit Strategies'!$H$7,'Exit Strategies'!$H$20,""))</f>
        <v/>
      </c>
      <c r="J10" s="403" t="str">
        <f>IF(J5='Exit Strategies'!$D$4,'Exit Strategies'!$D$26,IF(J5='Exit Strategies'!$H$7,'Exit Strategies'!$H$20,""))</f>
        <v/>
      </c>
      <c r="K10" s="403" t="str">
        <f>IF(K5='Exit Strategies'!$D$4,'Exit Strategies'!$D$26,IF(K5='Exit Strategies'!$H$7,'Exit Strategies'!$H$20,""))</f>
        <v/>
      </c>
      <c r="L10" s="403">
        <f ca="1">IF(L5='Exit Strategies'!$D$4,'Exit Strategies'!$D$26,IF(L5='Exit Strategies'!$H$7,'Exit Strategies'!$H$20,""))</f>
        <v>3520415.2156053917</v>
      </c>
      <c r="M10" s="403">
        <f ca="1">SUM(C10:L10)</f>
        <v>3520415.2156053917</v>
      </c>
      <c r="N10" s="804"/>
      <c r="P10" s="397"/>
      <c r="Z10" s="748" t="str">
        <f>About!B7</f>
        <v>Expenses</v>
      </c>
      <c r="AA10" s="751">
        <f>About!C7</f>
        <v>0.5</v>
      </c>
    </row>
    <row r="11" spans="1:31" x14ac:dyDescent="0.2">
      <c r="B11" s="811" t="s">
        <v>186</v>
      </c>
      <c r="C11" s="807">
        <f ca="1">IF(C6=0,"",IF(C5&gt;'Exit Strategies'!$D$5,"",(SUM(C7)+SUM(C10))/C6/C5))</f>
        <v>0.16884402079949676</v>
      </c>
      <c r="D11" s="807">
        <f ca="1">IF(D6=0,"",IF(D5&gt;'Exit Strategies'!$D$5,"",(SUM(C7:D7)+SUM(C10:D10))/D6/D5))</f>
        <v>0.17272949985698791</v>
      </c>
      <c r="E11" s="807">
        <f ca="1">IF(E6=0,"",IF(E5&gt;'Exit Strategies'!$D$5,"",(SUM(C7:E7)+SUM(C10:E10))/E6/E5))</f>
        <v>0.16617302766171843</v>
      </c>
      <c r="F11" s="807">
        <f ca="1">IF(F6=0,"",IF(F5&gt;'Exit Strategies'!$D$5,"",(SUM(C7:F7)+SUM(C10:F10))/F6/F5))</f>
        <v>0.15273406530172556</v>
      </c>
      <c r="G11" s="807">
        <f ca="1">IF(G6=0,"",IF(G5&gt;'Exit Strategies'!$D$5,"",(SUM(C7:G7)+SUM(C10:G10))/G6/G5))</f>
        <v>0.14066898286495325</v>
      </c>
      <c r="H11" s="807">
        <f ca="1">IF(H6=0,"",IF(H5&gt;'Exit Strategies'!$D$5,"",(SUM(C7:H7)+SUM(C10:H10))/H6/H5))</f>
        <v>0.13481562899708865</v>
      </c>
      <c r="I11" s="807">
        <f ca="1">IF(I6=0,"",IF(I5&gt;'Exit Strategies'!$D$5,"",(SUM(C7:I7)+SUM(C10:I10))/I6/I5))</f>
        <v>0.13258036637366188</v>
      </c>
      <c r="J11" s="807">
        <f ca="1">IF(J6=0,"",IF(J5&gt;'Exit Strategies'!$D$5,"",(SUM(C7:J7)+SUM(C10:J10))/J6/J5))</f>
        <v>0.1326683890946688</v>
      </c>
      <c r="K11" s="807">
        <f ca="1">IF(K6=0,"",IF(K5&gt;'Exit Strategies'!$D$5,"",(SUM(C7:K7)+SUM(C10:K10))/K6/K5))</f>
        <v>0.13436220714544944</v>
      </c>
      <c r="L11" s="807">
        <f ca="1">IF(L6=0,"",IF(L5&gt;'Exit Strategies'!$D$5,"",(SUM(C7:L7)+SUM(C10:L10))/L6/L5))</f>
        <v>0.23245117317195288</v>
      </c>
      <c r="M11" s="818"/>
      <c r="N11" s="808"/>
      <c r="P11" s="397"/>
      <c r="Z11" s="748" t="str">
        <f>About!B8</f>
        <v>% of Capital Returned With Refinance</v>
      </c>
      <c r="AA11" s="751">
        <f>About!C8</f>
        <v>0.6</v>
      </c>
    </row>
    <row r="12" spans="1:31" x14ac:dyDescent="0.2">
      <c r="B12" s="420" t="s">
        <v>61</v>
      </c>
      <c r="C12" s="403" t="str">
        <f>IF(C5='Exit Strategies'!$D$4,'Exit Strategies'!$D$19,IF(C5='Exit Strategies'!$H$7,'Exit Strategies'!$H$15,""))</f>
        <v/>
      </c>
      <c r="D12" s="403" t="str">
        <f>IF(D5='Exit Strategies'!$D$4,'Exit Strategies'!$D$19,IF(D5='Exit Strategies'!$H$7,'Exit Strategies'!$H$15,""))</f>
        <v/>
      </c>
      <c r="E12" s="403" t="str">
        <f>IF(E5='Exit Strategies'!$D$4,'Exit Strategies'!$D$19,IF(E5='Exit Strategies'!$H$7,'Exit Strategies'!$H$15,""))</f>
        <v/>
      </c>
      <c r="F12" s="403" t="str">
        <f>IF(F5='Exit Strategies'!$D$4,'Exit Strategies'!$D$19,IF(F5='Exit Strategies'!$H$7,'Exit Strategies'!$H$15,""))</f>
        <v/>
      </c>
      <c r="G12" s="403" t="str">
        <f>IF(G5='Exit Strategies'!$D$4,'Exit Strategies'!$D$19,IF(G5='Exit Strategies'!$H$7,'Exit Strategies'!$H$15,""))</f>
        <v/>
      </c>
      <c r="H12" s="403" t="str">
        <f>IF(H5='Exit Strategies'!$D$4,'Exit Strategies'!$D$19,IF(H5='Exit Strategies'!$H$7,'Exit Strategies'!$H$15,""))</f>
        <v/>
      </c>
      <c r="I12" s="403" t="str">
        <f>IF(I5='Exit Strategies'!$D$4,'Exit Strategies'!$D$19,IF(I5='Exit Strategies'!$H$7,'Exit Strategies'!$H$15,""))</f>
        <v/>
      </c>
      <c r="J12" s="403" t="str">
        <f>IF(J5='Exit Strategies'!$D$4,'Exit Strategies'!$D$19,IF(J5='Exit Strategies'!$H$7,'Exit Strategies'!$H$15,""))</f>
        <v/>
      </c>
      <c r="K12" s="403" t="str">
        <f>IF(K5='Exit Strategies'!$D$4,'Exit Strategies'!$D$19,IF(K5='Exit Strategies'!$H$7,'Exit Strategies'!$H$15,""))</f>
        <v/>
      </c>
      <c r="L12" s="403">
        <f>IF(L5='Exit Strategies'!$D$4,'Exit Strategies'!$D$19,IF(L5='Exit Strategies'!$H$7,'Exit Strategies'!$H$15,""))</f>
        <v>3697210.9879999999</v>
      </c>
      <c r="M12" s="399"/>
      <c r="N12" s="804"/>
      <c r="P12" s="397"/>
      <c r="T12" s="748"/>
      <c r="U12" s="788"/>
      <c r="Z12" s="748" t="str">
        <f>About!B9</f>
        <v>Average Cash on Cash (COC) Return</v>
      </c>
      <c r="AA12" s="751">
        <f>About!C9</f>
        <v>0.09</v>
      </c>
    </row>
    <row r="13" spans="1:31" ht="12.75" thickBot="1" x14ac:dyDescent="0.25">
      <c r="B13" s="811" t="s">
        <v>197</v>
      </c>
      <c r="C13" s="809">
        <f>IF(C5='Exit Strategies'!$D$4,'Exit Strategies'!$D$29,IF(C5='Exit Strategies'!$H$7,0,C6))</f>
        <v>3697210.9879999999</v>
      </c>
      <c r="D13" s="809">
        <f>IF(D5='Exit Strategies'!$D$4,'Exit Strategies'!$D$29,IF(D5='Exit Strategies'!$H$7,0,D6))</f>
        <v>3697210.9879999999</v>
      </c>
      <c r="E13" s="809">
        <f>IF(E5='Exit Strategies'!$D$4,'Exit Strategies'!$D$29,IF(E5='Exit Strategies'!$H$7,0,E6))</f>
        <v>3697210.9879999999</v>
      </c>
      <c r="F13" s="809">
        <f>IF(F5='Exit Strategies'!$D$4,'Exit Strategies'!$D$29,IF(F5='Exit Strategies'!$H$7,0,F6))</f>
        <v>3697210.9879999999</v>
      </c>
      <c r="G13" s="809">
        <f>IF(G5='Exit Strategies'!$D$4,'Exit Strategies'!$D$29,IF(G5='Exit Strategies'!$H$7,0,G6))</f>
        <v>3697210.9879999999</v>
      </c>
      <c r="H13" s="809">
        <f>IF(H5='Exit Strategies'!$D$4,'Exit Strategies'!$D$29,IF(H5='Exit Strategies'!$H$7,0,H6))</f>
        <v>3697210.9879999999</v>
      </c>
      <c r="I13" s="809">
        <f>IF(I5='Exit Strategies'!$D$4,'Exit Strategies'!$D$29,IF(I5='Exit Strategies'!$H$7,0,I6))</f>
        <v>3697210.9879999999</v>
      </c>
      <c r="J13" s="809">
        <f>IF(J5='Exit Strategies'!$D$4,'Exit Strategies'!$D$29,IF(J5='Exit Strategies'!$H$7,0,J6))</f>
        <v>3697210.9879999999</v>
      </c>
      <c r="K13" s="809">
        <f>IF(K5='Exit Strategies'!$D$4,'Exit Strategies'!$D$29,IF(K5='Exit Strategies'!$H$7,0,K6))</f>
        <v>3697210.9879999999</v>
      </c>
      <c r="L13" s="809">
        <f>IF(L5='Exit Strategies'!$D$4,'Exit Strategies'!$D$29,IF(L5='Exit Strategies'!$H$7,0,L6))</f>
        <v>0</v>
      </c>
      <c r="M13" s="810"/>
      <c r="N13" s="808"/>
      <c r="P13" s="397"/>
      <c r="Z13" s="748" t="str">
        <f>About!B10</f>
        <v>Replacement Reserves</v>
      </c>
      <c r="AA13" s="789">
        <f>About!C10</f>
        <v>123000</v>
      </c>
    </row>
    <row r="14" spans="1:31" ht="12.75" thickBot="1" x14ac:dyDescent="0.25">
      <c r="B14" s="819" t="s">
        <v>351</v>
      </c>
      <c r="C14" s="820">
        <f ca="1">IF(C5&gt;'Exit Strategies'!$D$5,"",C7+IF(C10="",0,C10))</f>
        <v>624251.96895799995</v>
      </c>
      <c r="D14" s="820">
        <f ca="1">IF(D5&gt;'Exit Strategies'!$D$5,"",D7+IF(D10="",0,D10))</f>
        <v>652982.84068800008</v>
      </c>
      <c r="E14" s="820">
        <f ca="1">IF(E5&gt;'Exit Strategies'!$D$5,"",E7+IF(E10="",0,E10))</f>
        <v>565895.42169439967</v>
      </c>
      <c r="F14" s="820">
        <f ca="1">IF(F5&gt;'Exit Strategies'!$D$5,"",F7+IF(F10="",0,F10))</f>
        <v>415630.02656139719</v>
      </c>
      <c r="G14" s="820">
        <f ca="1">IF(G5&gt;'Exit Strategies'!$D$5,"",G7+IF(G10="",0,G10))</f>
        <v>341654.28769364709</v>
      </c>
      <c r="H14" s="820">
        <f ca="1">IF(H5&gt;'Exit Strategies'!$D$5,"",H7+IF(H10="",0,H10))</f>
        <v>390236.40369756101</v>
      </c>
      <c r="I14" s="820">
        <f ca="1">IF(I5&gt;'Exit Strategies'!$D$5,"",I7+IF(I10="",0,I10))</f>
        <v>440592.16215537343</v>
      </c>
      <c r="J14" s="820">
        <f ca="1">IF(J5&gt;'Exit Strategies'!$D$5,"",J7+IF(J10="",0,J10))</f>
        <v>492781.09592017171</v>
      </c>
      <c r="K14" s="820">
        <f ca="1">IF(K5&gt;'Exit Strategies'!$D$5,"",K7+IF(K10="",0,K10))</f>
        <v>546864.65030223946</v>
      </c>
      <c r="L14" s="820">
        <f ca="1">IF(L5&gt;'Exit Strategies'!$D$5,"",L7+IF(L10="",0,L10))</f>
        <v>4123321.4585775612</v>
      </c>
      <c r="M14" s="803">
        <f ca="1">M10+M7</f>
        <v>8594210.3162483498</v>
      </c>
      <c r="N14" s="804">
        <f ca="1">IF(C6=0,0,M14/C6)</f>
        <v>2.3245117317195287</v>
      </c>
      <c r="Z14" s="748" t="str">
        <f>About!B11</f>
        <v>Repairs and Reserves</v>
      </c>
      <c r="AA14" s="789">
        <f>About!C11</f>
        <v>755825.36145833333</v>
      </c>
    </row>
    <row r="15" spans="1:31" ht="12.75" thickBot="1" x14ac:dyDescent="0.25">
      <c r="B15" s="236" t="str">
        <f>CONCATENATE("Average Annual Return",IF(About!$K$19="Yes"," (Equal to IRR Because of Refinance)",""))</f>
        <v>Average Annual Return</v>
      </c>
      <c r="C15" s="233"/>
      <c r="D15" s="233"/>
      <c r="E15" s="233"/>
      <c r="F15" s="233"/>
      <c r="G15" s="233"/>
      <c r="H15" s="233"/>
      <c r="I15" s="233"/>
      <c r="J15" s="233"/>
      <c r="K15" s="233"/>
      <c r="L15" s="233"/>
      <c r="M15" s="233"/>
      <c r="N15" s="752">
        <f ca="1">IF(C6=0,0,IF('Exit Strategies'!$D$4="NA",OFFSET(C11,0,'Exit Strategies'!$D$5-1),N16))</f>
        <v>0.23245117317195288</v>
      </c>
      <c r="O15" s="736" t="str">
        <f ca="1">About!E5</f>
        <v>Your AAR looks great! Since it's at least 15.0% it will be a lot easier to sell to investors.</v>
      </c>
      <c r="P15" s="422"/>
      <c r="Z15" s="748" t="str">
        <f>About!B12</f>
        <v>Cap Rate at Resale</v>
      </c>
      <c r="AA15" s="751">
        <f>About!C12</f>
        <v>9.2121974379084967E-2</v>
      </c>
    </row>
    <row r="16" spans="1:31" s="91" customFormat="1" ht="12.75" thickBot="1" x14ac:dyDescent="0.25">
      <c r="A16" s="71"/>
      <c r="B16" s="236" t="s">
        <v>9</v>
      </c>
      <c r="C16" s="234"/>
      <c r="D16" s="234"/>
      <c r="E16" s="234"/>
      <c r="F16" s="234"/>
      <c r="G16" s="234"/>
      <c r="H16" s="234"/>
      <c r="I16" s="234"/>
      <c r="J16" s="234"/>
      <c r="K16" s="234"/>
      <c r="L16" s="234"/>
      <c r="M16" s="234"/>
      <c r="N16" s="752">
        <f ca="1">IRR!$F$18</f>
        <v>0.18208640301147283</v>
      </c>
      <c r="O16" s="736" t="str">
        <f ca="1">About!E6</f>
        <v>This is a solid IRR since it's at least 13.0%.</v>
      </c>
      <c r="P16" s="71"/>
      <c r="Q16" s="71"/>
      <c r="R16" s="71"/>
      <c r="S16" s="71"/>
      <c r="T16" s="71"/>
      <c r="U16" s="71"/>
      <c r="V16" s="71"/>
      <c r="W16" s="71"/>
      <c r="X16" s="71"/>
      <c r="Y16" s="71"/>
      <c r="Z16" s="748" t="str">
        <f>About!B13</f>
        <v>Sale in Year 5</v>
      </c>
      <c r="AA16" s="751" t="str">
        <f>About!C13</f>
        <v>Yes</v>
      </c>
      <c r="AB16" s="71"/>
      <c r="AC16" s="71"/>
      <c r="AD16" s="71"/>
      <c r="AE16" s="71"/>
    </row>
    <row r="17" spans="1:31" s="91" customFormat="1" ht="12.75" thickBot="1" x14ac:dyDescent="0.25">
      <c r="A17" s="71"/>
      <c r="B17" s="236" t="str">
        <f>CONCATENATE("Average Cash on Cash Return",IF(About!$K$19="Yes"," (Before Refinance)",""))</f>
        <v>Average Cash on Cash Return</v>
      </c>
      <c r="C17" s="724"/>
      <c r="D17" s="234"/>
      <c r="E17" s="234"/>
      <c r="F17" s="234"/>
      <c r="G17" s="234"/>
      <c r="H17" s="234"/>
      <c r="I17" s="234"/>
      <c r="J17" s="234"/>
      <c r="K17" s="234"/>
      <c r="L17" s="234"/>
      <c r="M17" s="234"/>
      <c r="N17" s="752">
        <f ca="1">IF(C6=0,0,IF('Exit Strategies'!$D$4="NA",OFFSET(C9,0,'Exit Strategies'!$D$5-1),IF('Exit Strategies'!$D$29&gt;0,OFFSET(C9,0,'Exit Strategies'!$D$5-1), OFFSET(C9,0,'Exit Strategies'!$D$4-1))))</f>
        <v>0.13723304180126383</v>
      </c>
      <c r="O17" s="736" t="str">
        <f ca="1">About!E9</f>
        <v>The average Cash on Cash Return looks good since it's at least 9.0% over the 10 years of the investment.</v>
      </c>
      <c r="P17" s="71"/>
      <c r="Q17" s="71"/>
      <c r="R17" s="71"/>
      <c r="S17" s="71"/>
      <c r="T17" s="71"/>
      <c r="U17" s="71"/>
      <c r="V17" s="71"/>
      <c r="W17" s="71"/>
      <c r="X17" s="71"/>
      <c r="Y17" s="71"/>
      <c r="Z17" s="748" t="str">
        <f>About!B14</f>
        <v>No Refinance in Year 3 or 4</v>
      </c>
      <c r="AA17" s="751" t="str">
        <f>About!C14</f>
        <v>Yes</v>
      </c>
      <c r="AB17" s="71"/>
      <c r="AC17" s="71"/>
      <c r="AD17" s="71"/>
      <c r="AE17" s="71"/>
    </row>
    <row r="18" spans="1:31" x14ac:dyDescent="0.2">
      <c r="F18" s="397"/>
      <c r="G18" s="397"/>
      <c r="L18" s="845"/>
      <c r="M18" s="397"/>
      <c r="Z18" s="748"/>
      <c r="AA18" s="751"/>
    </row>
    <row r="19" spans="1:31" x14ac:dyDescent="0.2">
      <c r="B19" s="394" t="s">
        <v>81</v>
      </c>
      <c r="C19" s="204"/>
      <c r="D19" s="204"/>
      <c r="E19" s="204"/>
      <c r="G19" s="422"/>
      <c r="L19" s="845"/>
      <c r="M19" s="397"/>
    </row>
    <row r="20" spans="1:31" ht="12.75" thickBot="1" x14ac:dyDescent="0.25">
      <c r="B20" s="205"/>
      <c r="C20" s="395" t="str">
        <f>IF(C21='Exit Strategies'!$D$4,"REFINANCE!",IF(C21='Exit Strategies'!$D$5,"SALE!",""))</f>
        <v/>
      </c>
      <c r="D20" s="395" t="str">
        <f>IF(D21='Exit Strategies'!$D$4,"REFINANCE!",IF(D21='Exit Strategies'!$D$5,"SALE!",""))</f>
        <v/>
      </c>
      <c r="E20" s="395" t="str">
        <f>IF(E21='Exit Strategies'!$D$4,"REFINANCE!",IF(E21='Exit Strategies'!$D$5,"SALE!",""))</f>
        <v/>
      </c>
      <c r="F20" s="395" t="str">
        <f>IF(F21='Exit Strategies'!$D$4,"REFINANCE!",IF(F21='Exit Strategies'!$D$5,"SALE!",""))</f>
        <v/>
      </c>
      <c r="G20" s="395" t="str">
        <f>IF(G21='Exit Strategies'!$D$4,"REFINANCE!",IF(G21='Exit Strategies'!$D$5,"SALE!",""))</f>
        <v/>
      </c>
      <c r="H20" s="395" t="str">
        <f>IF(H21='Exit Strategies'!$D$4,"REFINANCE!",IF(H21='Exit Strategies'!$D$5,"SALE!",""))</f>
        <v/>
      </c>
      <c r="I20" s="395" t="str">
        <f>IF(I21='Exit Strategies'!$D$4,"REFINANCE!",IF(I21='Exit Strategies'!$D$5,"SALE!",""))</f>
        <v/>
      </c>
      <c r="J20" s="395" t="str">
        <f>IF(J21='Exit Strategies'!$D$4,"REFINANCE!",IF(J21='Exit Strategies'!$D$5,"SALE!",""))</f>
        <v/>
      </c>
      <c r="K20" s="395" t="str">
        <f>IF(K21='Exit Strategies'!$D$4,"REFINANCE!",IF(K21='Exit Strategies'!$D$5,"SALE!",""))</f>
        <v/>
      </c>
      <c r="L20" s="395" t="str">
        <f>IF(L21='Exit Strategies'!$D$4,"REFINANCE!",IF(L21='Exit Strategies'!$D$5,"SALE!",""))</f>
        <v>SALE!</v>
      </c>
    </row>
    <row r="21" spans="1:31" ht="12.75" thickBot="1" x14ac:dyDescent="0.25">
      <c r="B21" s="410"/>
      <c r="C21" s="418">
        <v>1</v>
      </c>
      <c r="D21" s="418">
        <f>C21+1</f>
        <v>2</v>
      </c>
      <c r="E21" s="418">
        <f t="shared" ref="E21:L21" si="1">D21+1</f>
        <v>3</v>
      </c>
      <c r="F21" s="418">
        <f t="shared" si="1"/>
        <v>4</v>
      </c>
      <c r="G21" s="418">
        <f t="shared" si="1"/>
        <v>5</v>
      </c>
      <c r="H21" s="418">
        <f t="shared" si="1"/>
        <v>6</v>
      </c>
      <c r="I21" s="418">
        <f t="shared" si="1"/>
        <v>7</v>
      </c>
      <c r="J21" s="418">
        <f t="shared" si="1"/>
        <v>8</v>
      </c>
      <c r="K21" s="418">
        <f t="shared" si="1"/>
        <v>9</v>
      </c>
      <c r="L21" s="418">
        <f t="shared" si="1"/>
        <v>10</v>
      </c>
      <c r="M21" s="419" t="s">
        <v>199</v>
      </c>
      <c r="N21" s="413"/>
    </row>
    <row r="22" spans="1:31" x14ac:dyDescent="0.2">
      <c r="B22" s="832" t="s">
        <v>352</v>
      </c>
      <c r="C22" s="833">
        <f ca="1">IF('P&amp;L'!D48=0,Summary!D19,'P&amp;L'!D47+'P&amp;L'!D42+Summary!D19)</f>
        <v>476666.72378175001</v>
      </c>
      <c r="D22" s="833">
        <f ca="1">IF('P&amp;L'!F48=0,"",'P&amp;L'!F47+'P&amp;L'!F42)</f>
        <v>182493.48781800002</v>
      </c>
      <c r="E22" s="833">
        <f ca="1">IF('P&amp;L'!H48=0,"",'P&amp;L'!H47+'P&amp;L'!H42)</f>
        <v>151291.94326139989</v>
      </c>
      <c r="F22" s="833">
        <f ca="1">IF('P&amp;L'!J48=0,"",'P&amp;L'!J47+'P&amp;L'!J42)</f>
        <v>96442.344779503954</v>
      </c>
      <c r="G22" s="833">
        <f ca="1">IF('P&amp;L'!L48=0,"",'P&amp;L'!L47+'P&amp;L'!L42)</f>
        <v>70246.365137867062</v>
      </c>
      <c r="H22" s="833">
        <f ca="1">IF('P&amp;L'!N48=0,"",'P&amp;L'!N47+'P&amp;L'!N42)</f>
        <v>90055.92874611725</v>
      </c>
      <c r="I22" s="833">
        <f ca="1">IF('P&amp;L'!P48=0,"",'P&amp;L'!P47+'P&amp;L'!P42)</f>
        <v>110578.34637778289</v>
      </c>
      <c r="J22" s="833">
        <f ca="1">IF('P&amp;L'!R48=0,"",'P&amp;L'!R47+'P&amp;L'!R42)</f>
        <v>131837.37499586775</v>
      </c>
      <c r="K22" s="833">
        <f ca="1">IF('P&amp;L'!T48=0,"",'P&amp;L'!T47+'P&amp;L'!T42)</f>
        <v>153857.53169911727</v>
      </c>
      <c r="L22" s="833">
        <f ca="1">IF('P&amp;L'!V48=0,"",'P&amp;L'!V47+'P&amp;L'!V42)</f>
        <v>176664.11747461441</v>
      </c>
      <c r="M22" s="831">
        <f t="shared" ref="M22:M27" ca="1" si="2">SUM(C22:L22)</f>
        <v>1640134.1640720204</v>
      </c>
      <c r="N22" s="75"/>
    </row>
    <row r="23" spans="1:31" x14ac:dyDescent="0.2">
      <c r="B23" s="834" t="s">
        <v>53</v>
      </c>
      <c r="C23" s="835">
        <f ca="1">IF('P&amp;L'!D48=0,"",'P&amp;L'!D47)</f>
        <v>123178.15871925</v>
      </c>
      <c r="D23" s="835">
        <f ca="1">IF('P&amp;L'!F48=0,"",'P&amp;L'!F47)</f>
        <v>133952.23561800004</v>
      </c>
      <c r="E23" s="835">
        <f ca="1">IF('P&amp;L'!H48=0,"",'P&amp;L'!H47)</f>
        <v>101294.4534953999</v>
      </c>
      <c r="F23" s="835">
        <f ca="1">IF('P&amp;L'!J48=0,"",'P&amp;L'!J47)</f>
        <v>44944.930320523948</v>
      </c>
      <c r="G23" s="835">
        <f ca="1">IF('P&amp;L'!L48=0,"",'P&amp;L'!L47)</f>
        <v>17204.028245117672</v>
      </c>
      <c r="H23" s="835">
        <f ca="1">IF('P&amp;L'!N48=0,"",'P&amp;L'!N47)</f>
        <v>35422.321746585381</v>
      </c>
      <c r="I23" s="835">
        <f ca="1">IF('P&amp;L'!P48=0,"",'P&amp;L'!P47)</f>
        <v>54305.731168265047</v>
      </c>
      <c r="J23" s="835">
        <f ca="1">IF('P&amp;L'!R48=0,"",'P&amp;L'!R47)</f>
        <v>73876.581330064379</v>
      </c>
      <c r="K23" s="835">
        <f ca="1">IF('P&amp;L'!T48=0,"",'P&amp;L'!T47)</f>
        <v>94157.914223339787</v>
      </c>
      <c r="L23" s="835">
        <f ca="1">IF('P&amp;L'!V48=0,"",'P&amp;L'!V47)</f>
        <v>115173.51147456358</v>
      </c>
      <c r="M23" s="421">
        <f t="shared" ca="1" si="2"/>
        <v>793509.86634110974</v>
      </c>
      <c r="N23" s="75"/>
    </row>
    <row r="24" spans="1:31" x14ac:dyDescent="0.2">
      <c r="B24" s="834" t="s">
        <v>102</v>
      </c>
      <c r="C24" s="835">
        <f>Summary!D19</f>
        <v>306000</v>
      </c>
      <c r="D24" s="835"/>
      <c r="E24" s="835"/>
      <c r="F24" s="835"/>
      <c r="G24" s="835"/>
      <c r="H24" s="835"/>
      <c r="I24" s="835"/>
      <c r="J24" s="835"/>
      <c r="K24" s="835"/>
      <c r="L24" s="835"/>
      <c r="M24" s="421">
        <f t="shared" si="2"/>
        <v>306000</v>
      </c>
      <c r="N24" s="75"/>
    </row>
    <row r="25" spans="1:31" x14ac:dyDescent="0.2">
      <c r="B25" s="834" t="s">
        <v>238</v>
      </c>
      <c r="C25" s="835">
        <f ca="1">IF('P&amp;L'!D48=0,"",'P&amp;L'!D42)</f>
        <v>47488.565062499998</v>
      </c>
      <c r="D25" s="835">
        <f ca="1">IF('P&amp;L'!F48=0,"",'P&amp;L'!F42)</f>
        <v>48541.252199999995</v>
      </c>
      <c r="E25" s="835">
        <f ca="1">IF('P&amp;L'!H48=0,"",'P&amp;L'!H42)</f>
        <v>49997.489766000006</v>
      </c>
      <c r="F25" s="835">
        <f ca="1">IF('P&amp;L'!J48=0,"",'P&amp;L'!J42)</f>
        <v>51497.414458980005</v>
      </c>
      <c r="G25" s="835">
        <f ca="1">IF('P&amp;L'!L48=0,"",'P&amp;L'!L42)</f>
        <v>53042.336892749394</v>
      </c>
      <c r="H25" s="835">
        <f ca="1">IF('P&amp;L'!N48=0,"",'P&amp;L'!N42)</f>
        <v>54633.606999531876</v>
      </c>
      <c r="I25" s="835">
        <f ca="1">IF('P&amp;L'!P48=0,"",'P&amp;L'!P42)</f>
        <v>56272.61520951784</v>
      </c>
      <c r="J25" s="835">
        <f ca="1">IF('P&amp;L'!R48=0,"",'P&amp;L'!R42)</f>
        <v>57960.793665803372</v>
      </c>
      <c r="K25" s="835">
        <f ca="1">IF('P&amp;L'!T48=0,"",'P&amp;L'!T42)</f>
        <v>59699.617475777493</v>
      </c>
      <c r="L25" s="835">
        <f ca="1">IF('P&amp;L'!V48=0,"",'P&amp;L'!V42)</f>
        <v>61490.606000050822</v>
      </c>
      <c r="M25" s="421">
        <f t="shared" ca="1" si="2"/>
        <v>540624.29773091082</v>
      </c>
      <c r="N25" s="75"/>
    </row>
    <row r="26" spans="1:31" x14ac:dyDescent="0.2">
      <c r="B26" s="834" t="s">
        <v>353</v>
      </c>
      <c r="C26" s="399">
        <f>IF(C21&gt;'Exit Strategies'!$D$5,"",IF(C5='Exit Strategies'!$D$4,'Exit Strategies'!$D$25,IF(C5='Exit Strategies'!$H$7,'Exit Strategies'!$H$19,0)))</f>
        <v>0</v>
      </c>
      <c r="D26" s="399">
        <f>IF(D21&gt;'Exit Strategies'!$D$5,"",IF(D5='Exit Strategies'!$D$4,'Exit Strategies'!$D$25,IF(D5='Exit Strategies'!$H$7,'Exit Strategies'!$H$19,0)))</f>
        <v>0</v>
      </c>
      <c r="E26" s="399">
        <f>IF(E21&gt;'Exit Strategies'!$D$5,"",IF(E5='Exit Strategies'!$D$4,'Exit Strategies'!$D$25,IF(E5='Exit Strategies'!$H$7,'Exit Strategies'!$H$19,0)))</f>
        <v>0</v>
      </c>
      <c r="F26" s="399">
        <f>IF(F21&gt;'Exit Strategies'!$D$5,"",IF(F5='Exit Strategies'!$D$4,'Exit Strategies'!$D$25,IF(F5='Exit Strategies'!$H$7,'Exit Strategies'!$H$19,0)))</f>
        <v>0</v>
      </c>
      <c r="G26" s="399">
        <f>IF(G21&gt;'Exit Strategies'!$D$5,"",IF(G5='Exit Strategies'!$D$4,'Exit Strategies'!$D$25,IF(G5='Exit Strategies'!$H$7,'Exit Strategies'!$H$19,0)))</f>
        <v>0</v>
      </c>
      <c r="H26" s="399">
        <f>IF(H21&gt;'Exit Strategies'!$D$5,"",IF(H5='Exit Strategies'!$D$4,'Exit Strategies'!$D$25,IF(H5='Exit Strategies'!$H$7,'Exit Strategies'!$H$19,0)))</f>
        <v>0</v>
      </c>
      <c r="I26" s="399">
        <f>IF(I21&gt;'Exit Strategies'!$D$5,"",IF(I5='Exit Strategies'!$D$4,'Exit Strategies'!$D$25,IF(I5='Exit Strategies'!$H$7,'Exit Strategies'!$H$19,0)))</f>
        <v>0</v>
      </c>
      <c r="J26" s="399">
        <f>IF(J21&gt;'Exit Strategies'!$D$5,"",IF(J5='Exit Strategies'!$D$4,'Exit Strategies'!$D$25,IF(J5='Exit Strategies'!$H$7,'Exit Strategies'!$H$19,0)))</f>
        <v>0</v>
      </c>
      <c r="K26" s="399">
        <f>IF(K21&gt;'Exit Strategies'!$D$5,"",IF(K5='Exit Strategies'!$D$4,'Exit Strategies'!$D$25,IF(K5='Exit Strategies'!$H$7,'Exit Strategies'!$H$19,0)))</f>
        <v>0</v>
      </c>
      <c r="L26" s="399">
        <f ca="1">IF(L21&gt;'Exit Strategies'!$D$5,"",IF(L5='Exit Strategies'!$D$4,'Exit Strategies'!$D$25,IF(L5='Exit Strategies'!$H$7,'Exit Strategies'!$H$19,0)))</f>
        <v>0</v>
      </c>
      <c r="M26" s="421">
        <f t="shared" ca="1" si="2"/>
        <v>0</v>
      </c>
      <c r="N26" s="89"/>
    </row>
    <row r="27" spans="1:31" ht="12.75" thickBot="1" x14ac:dyDescent="0.25">
      <c r="B27" s="836" t="s">
        <v>187</v>
      </c>
      <c r="C27" s="576">
        <f>IF(C21&gt;'Exit Strategies'!$D$5,"",IF(C5='Exit Strategies'!$D$4,'Exit Strategies'!$D$27,IF(C5='Exit Strategies'!$H$7,'Exit Strategies'!$H$21,0)))</f>
        <v>0</v>
      </c>
      <c r="D27" s="576">
        <f>IF(D21&gt;'Exit Strategies'!$D$5,"",IF(D5='Exit Strategies'!$D$4,'Exit Strategies'!$D$27,IF(D5='Exit Strategies'!$H$7,'Exit Strategies'!$H$21,0)))</f>
        <v>0</v>
      </c>
      <c r="E27" s="576">
        <f>IF(E21&gt;'Exit Strategies'!$D$5,"",IF(E5='Exit Strategies'!$D$4,'Exit Strategies'!$D$27,IF(E5='Exit Strategies'!$H$7,'Exit Strategies'!$H$21,0)))</f>
        <v>0</v>
      </c>
      <c r="F27" s="576">
        <f>IF(F21&gt;'Exit Strategies'!$D$5,"",IF(F5='Exit Strategies'!$D$4,'Exit Strategies'!$D$27,IF(F5='Exit Strategies'!$H$7,'Exit Strategies'!$H$21,0)))</f>
        <v>0</v>
      </c>
      <c r="G27" s="576">
        <f>IF(G21&gt;'Exit Strategies'!$D$5,"",IF(G5='Exit Strategies'!$D$4,'Exit Strategies'!$D$27,IF(G5='Exit Strategies'!$H$7,'Exit Strategies'!$H$21,0)))</f>
        <v>0</v>
      </c>
      <c r="H27" s="576">
        <f>IF(H21&gt;'Exit Strategies'!$D$5,"",IF(H5='Exit Strategies'!$D$4,'Exit Strategies'!$D$27,IF(H5='Exit Strategies'!$H$7,'Exit Strategies'!$H$21,0)))</f>
        <v>0</v>
      </c>
      <c r="I27" s="576">
        <f>IF(I21&gt;'Exit Strategies'!$D$5,"",IF(I5='Exit Strategies'!$D$4,'Exit Strategies'!$D$27,IF(I5='Exit Strategies'!$H$7,'Exit Strategies'!$H$21,0)))</f>
        <v>0</v>
      </c>
      <c r="J27" s="576">
        <f>IF(J21&gt;'Exit Strategies'!$D$5,"",IF(J5='Exit Strategies'!$D$4,'Exit Strategies'!$D$27,IF(J5='Exit Strategies'!$H$7,'Exit Strategies'!$H$21,0)))</f>
        <v>0</v>
      </c>
      <c r="K27" s="576">
        <f>IF(K21&gt;'Exit Strategies'!$D$5,"",IF(K5='Exit Strategies'!$D$4,'Exit Strategies'!$D$27,IF(K5='Exit Strategies'!$H$7,'Exit Strategies'!$H$21,0)))</f>
        <v>0</v>
      </c>
      <c r="L27" s="576">
        <f ca="1">IF(L21&gt;'Exit Strategies'!$D$5,"",IF(L5='Exit Strategies'!$D$4,'Exit Strategies'!$D$27,IF(L5='Exit Strategies'!$H$7,'Exit Strategies'!$H$21,0)))</f>
        <v>1320155.7058520217</v>
      </c>
      <c r="M27" s="592">
        <f t="shared" ca="1" si="2"/>
        <v>1320155.7058520217</v>
      </c>
      <c r="N27" s="89"/>
    </row>
    <row r="28" spans="1:31" ht="12.75" thickBot="1" x14ac:dyDescent="0.25">
      <c r="B28" s="593" t="s">
        <v>354</v>
      </c>
      <c r="C28" s="594">
        <f t="shared" ref="C28:L28" ca="1" si="3">IF(C22="","",C22+C26+C27)</f>
        <v>476666.72378175001</v>
      </c>
      <c r="D28" s="594">
        <f t="shared" ca="1" si="3"/>
        <v>182493.48781800002</v>
      </c>
      <c r="E28" s="594">
        <f t="shared" ca="1" si="3"/>
        <v>151291.94326139989</v>
      </c>
      <c r="F28" s="594">
        <f t="shared" ca="1" si="3"/>
        <v>96442.344779503954</v>
      </c>
      <c r="G28" s="594">
        <f t="shared" ca="1" si="3"/>
        <v>70246.365137867062</v>
      </c>
      <c r="H28" s="594">
        <f t="shared" ca="1" si="3"/>
        <v>90055.92874611725</v>
      </c>
      <c r="I28" s="594">
        <f t="shared" ca="1" si="3"/>
        <v>110578.34637778289</v>
      </c>
      <c r="J28" s="594">
        <f t="shared" ca="1" si="3"/>
        <v>131837.37499586775</v>
      </c>
      <c r="K28" s="594">
        <f t="shared" ca="1" si="3"/>
        <v>153857.53169911727</v>
      </c>
      <c r="L28" s="594">
        <f t="shared" ca="1" si="3"/>
        <v>1496819.8233266361</v>
      </c>
      <c r="M28" s="595">
        <f ca="1">IF(M22+M26+M27=0,"",M22+M26+M27)</f>
        <v>2960289.8699240424</v>
      </c>
      <c r="N28" s="414"/>
    </row>
    <row r="29" spans="1:31" outlineLevel="1" x14ac:dyDescent="0.2">
      <c r="B29" s="828" t="str">
        <f>B91</f>
        <v>Student</v>
      </c>
      <c r="C29" s="830">
        <f t="shared" ref="C29:L29" ca="1" si="4">IF(C28="","",C28*$E$128)</f>
        <v>154916.68522906874</v>
      </c>
      <c r="D29" s="830">
        <f t="shared" ca="1" si="4"/>
        <v>59310.383540850002</v>
      </c>
      <c r="E29" s="830">
        <f t="shared" ca="1" si="4"/>
        <v>49169.881559954956</v>
      </c>
      <c r="F29" s="830">
        <f t="shared" ca="1" si="4"/>
        <v>31343.762053338782</v>
      </c>
      <c r="G29" s="830">
        <f t="shared" ca="1" si="4"/>
        <v>22830.068669806791</v>
      </c>
      <c r="H29" s="830">
        <f t="shared" ca="1" si="4"/>
        <v>29268.176842488101</v>
      </c>
      <c r="I29" s="830">
        <f t="shared" ca="1" si="4"/>
        <v>35937.962572779434</v>
      </c>
      <c r="J29" s="830">
        <f t="shared" ca="1" si="4"/>
        <v>42847.14687365701</v>
      </c>
      <c r="K29" s="830">
        <f t="shared" ca="1" si="4"/>
        <v>50003.697802213108</v>
      </c>
      <c r="L29" s="830">
        <f t="shared" ca="1" si="4"/>
        <v>486466.44258115668</v>
      </c>
      <c r="M29" s="831">
        <f t="shared" ref="M29:M52" ca="1" si="5">SUM(C29:L29)</f>
        <v>962094.20772531372</v>
      </c>
      <c r="N29" s="415"/>
    </row>
    <row r="30" spans="1:31" outlineLevel="1" x14ac:dyDescent="0.2">
      <c r="B30" s="834" t="str">
        <f>B23</f>
        <v>Distributions from Cash Flow</v>
      </c>
      <c r="C30" s="835">
        <f t="shared" ref="C30:L30" ca="1" si="6">IF(OR(C23="",C23=0,C$29=0),"",C23*$E$128)</f>
        <v>40032.901583756247</v>
      </c>
      <c r="D30" s="835">
        <f t="shared" ca="1" si="6"/>
        <v>43534.476575850007</v>
      </c>
      <c r="E30" s="835">
        <f t="shared" ca="1" si="6"/>
        <v>32920.697386004962</v>
      </c>
      <c r="F30" s="835">
        <f t="shared" ca="1" si="6"/>
        <v>14607.102354170282</v>
      </c>
      <c r="G30" s="835">
        <f t="shared" ca="1" si="6"/>
        <v>5591.3091796632425</v>
      </c>
      <c r="H30" s="835">
        <f t="shared" ca="1" si="6"/>
        <v>11512.254567640248</v>
      </c>
      <c r="I30" s="835">
        <f t="shared" ca="1" si="6"/>
        <v>17649.362629686137</v>
      </c>
      <c r="J30" s="835">
        <f t="shared" ca="1" si="6"/>
        <v>24009.888932270918</v>
      </c>
      <c r="K30" s="835">
        <f t="shared" ca="1" si="6"/>
        <v>30601.322122585425</v>
      </c>
      <c r="L30" s="835">
        <f t="shared" ca="1" si="6"/>
        <v>37431.391229233159</v>
      </c>
      <c r="M30" s="421">
        <f t="shared" ca="1" si="5"/>
        <v>257890.70656086065</v>
      </c>
      <c r="N30" s="75"/>
    </row>
    <row r="31" spans="1:31" outlineLevel="1" x14ac:dyDescent="0.2">
      <c r="B31" s="834" t="str">
        <f>B24</f>
        <v>Acquisition Fee</v>
      </c>
      <c r="C31" s="835">
        <f t="shared" ref="C31:L31" ca="1" si="7">IF(OR(C24="",C24=0,C$29=0),"",C24*$E$128)</f>
        <v>99449.999999999985</v>
      </c>
      <c r="D31" s="835" t="str">
        <f t="shared" ca="1" si="7"/>
        <v/>
      </c>
      <c r="E31" s="835" t="str">
        <f t="shared" ca="1" si="7"/>
        <v/>
      </c>
      <c r="F31" s="835" t="str">
        <f t="shared" ca="1" si="7"/>
        <v/>
      </c>
      <c r="G31" s="835" t="str">
        <f t="shared" ca="1" si="7"/>
        <v/>
      </c>
      <c r="H31" s="835" t="str">
        <f t="shared" ca="1" si="7"/>
        <v/>
      </c>
      <c r="I31" s="835" t="str">
        <f t="shared" ca="1" si="7"/>
        <v/>
      </c>
      <c r="J31" s="835" t="str">
        <f t="shared" ca="1" si="7"/>
        <v/>
      </c>
      <c r="K31" s="835" t="str">
        <f t="shared" ca="1" si="7"/>
        <v/>
      </c>
      <c r="L31" s="835" t="str">
        <f t="shared" ca="1" si="7"/>
        <v/>
      </c>
      <c r="M31" s="421">
        <f t="shared" ca="1" si="5"/>
        <v>99449.999999999985</v>
      </c>
      <c r="N31" s="75"/>
    </row>
    <row r="32" spans="1:31" outlineLevel="1" x14ac:dyDescent="0.2">
      <c r="B32" s="834" t="str">
        <f>B25</f>
        <v>Asset Management Fee</v>
      </c>
      <c r="C32" s="835">
        <f t="shared" ref="C32:L32" ca="1" si="8">IF(OR(C25="",C25=0,C$29=0),"",C25*$E$128)</f>
        <v>15433.783645312496</v>
      </c>
      <c r="D32" s="835">
        <f t="shared" ca="1" si="8"/>
        <v>15775.906964999996</v>
      </c>
      <c r="E32" s="835">
        <f t="shared" ca="1" si="8"/>
        <v>16249.18417395</v>
      </c>
      <c r="F32" s="835">
        <f t="shared" ca="1" si="8"/>
        <v>16736.6596991685</v>
      </c>
      <c r="G32" s="835">
        <f t="shared" ca="1" si="8"/>
        <v>17238.759490143551</v>
      </c>
      <c r="H32" s="835">
        <f t="shared" ca="1" si="8"/>
        <v>17755.922274847857</v>
      </c>
      <c r="I32" s="835">
        <f t="shared" ca="1" si="8"/>
        <v>18288.599943093297</v>
      </c>
      <c r="J32" s="835">
        <f t="shared" ca="1" si="8"/>
        <v>18837.257941386095</v>
      </c>
      <c r="K32" s="835">
        <f t="shared" ca="1" si="8"/>
        <v>19402.375679627683</v>
      </c>
      <c r="L32" s="835">
        <f t="shared" ca="1" si="8"/>
        <v>19984.446950016514</v>
      </c>
      <c r="M32" s="421">
        <f t="shared" ca="1" si="5"/>
        <v>175702.89676254598</v>
      </c>
      <c r="N32" s="75"/>
    </row>
    <row r="33" spans="2:14" outlineLevel="1" x14ac:dyDescent="0.2">
      <c r="B33" s="834" t="str">
        <f>B26</f>
        <v>Capital Transaction Fee</v>
      </c>
      <c r="C33" s="835" t="str">
        <f t="shared" ref="C33:L33" ca="1" si="9">IF(OR(C26="",C26=0,C$29=0),"",C26*$E$128)</f>
        <v/>
      </c>
      <c r="D33" s="835" t="str">
        <f t="shared" ca="1" si="9"/>
        <v/>
      </c>
      <c r="E33" s="835" t="str">
        <f t="shared" ca="1" si="9"/>
        <v/>
      </c>
      <c r="F33" s="835" t="str">
        <f t="shared" ca="1" si="9"/>
        <v/>
      </c>
      <c r="G33" s="835" t="str">
        <f t="shared" ca="1" si="9"/>
        <v/>
      </c>
      <c r="H33" s="835" t="str">
        <f t="shared" ca="1" si="9"/>
        <v/>
      </c>
      <c r="I33" s="835" t="str">
        <f t="shared" ca="1" si="9"/>
        <v/>
      </c>
      <c r="J33" s="835" t="str">
        <f t="shared" ca="1" si="9"/>
        <v/>
      </c>
      <c r="K33" s="835" t="str">
        <f t="shared" ca="1" si="9"/>
        <v/>
      </c>
      <c r="L33" s="835" t="str">
        <f t="shared" ca="1" si="9"/>
        <v/>
      </c>
      <c r="M33" s="421">
        <f t="shared" ca="1" si="5"/>
        <v>0</v>
      </c>
      <c r="N33" s="89"/>
    </row>
    <row r="34" spans="2:14" outlineLevel="1" x14ac:dyDescent="0.2">
      <c r="B34" s="834" t="str">
        <f>B27</f>
        <v>Net Proceeds/Profits from Refinance or Sale</v>
      </c>
      <c r="C34" s="835" t="str">
        <f t="shared" ref="C34:L34" ca="1" si="10">IF(OR(C27="",C27=0,C$29=0),"",C27*$E$128)</f>
        <v/>
      </c>
      <c r="D34" s="835" t="str">
        <f t="shared" ca="1" si="10"/>
        <v/>
      </c>
      <c r="E34" s="835" t="str">
        <f t="shared" ca="1" si="10"/>
        <v/>
      </c>
      <c r="F34" s="835" t="str">
        <f t="shared" ca="1" si="10"/>
        <v/>
      </c>
      <c r="G34" s="835" t="str">
        <f t="shared" ca="1" si="10"/>
        <v/>
      </c>
      <c r="H34" s="835" t="str">
        <f t="shared" ca="1" si="10"/>
        <v/>
      </c>
      <c r="I34" s="835" t="str">
        <f t="shared" ca="1" si="10"/>
        <v/>
      </c>
      <c r="J34" s="835" t="str">
        <f t="shared" ca="1" si="10"/>
        <v/>
      </c>
      <c r="K34" s="835" t="str">
        <f t="shared" ca="1" si="10"/>
        <v/>
      </c>
      <c r="L34" s="835">
        <f t="shared" ca="1" si="10"/>
        <v>429050.60440190701</v>
      </c>
      <c r="M34" s="592">
        <f t="shared" ca="1" si="5"/>
        <v>429050.60440190701</v>
      </c>
      <c r="N34" s="89"/>
    </row>
    <row r="35" spans="2:14" outlineLevel="1" x14ac:dyDescent="0.2">
      <c r="B35" s="837" t="str">
        <f>B92</f>
        <v>The Michael Blank Team</v>
      </c>
      <c r="C35" s="838">
        <f t="shared" ref="C35:L35" ca="1" si="11">IF(C28="","",C28*$E$129)</f>
        <v>321750.03855268122</v>
      </c>
      <c r="D35" s="838">
        <f t="shared" ca="1" si="11"/>
        <v>123183.10427715001</v>
      </c>
      <c r="E35" s="838">
        <f t="shared" ca="1" si="11"/>
        <v>102122.06170144492</v>
      </c>
      <c r="F35" s="838">
        <f t="shared" ca="1" si="11"/>
        <v>65098.582726165165</v>
      </c>
      <c r="G35" s="838">
        <f t="shared" ca="1" si="11"/>
        <v>47416.29646806026</v>
      </c>
      <c r="H35" s="838">
        <f t="shared" ca="1" si="11"/>
        <v>60787.751903629134</v>
      </c>
      <c r="I35" s="838">
        <f t="shared" ca="1" si="11"/>
        <v>74640.383805003439</v>
      </c>
      <c r="J35" s="838">
        <f t="shared" ca="1" si="11"/>
        <v>88990.228122210727</v>
      </c>
      <c r="K35" s="838">
        <f t="shared" ca="1" si="11"/>
        <v>103853.83389690415</v>
      </c>
      <c r="L35" s="838">
        <f t="shared" ca="1" si="11"/>
        <v>1010353.3807454793</v>
      </c>
      <c r="M35" s="839">
        <f t="shared" ca="1" si="5"/>
        <v>1998195.6621987284</v>
      </c>
      <c r="N35" s="415"/>
    </row>
    <row r="36" spans="2:14" outlineLevel="1" x14ac:dyDescent="0.2">
      <c r="B36" s="834" t="str">
        <f>B30</f>
        <v>Distributions from Cash Flow</v>
      </c>
      <c r="C36" s="835">
        <f t="shared" ref="C36:L36" ca="1" si="12">IF(OR(C23="",C23=0,C$35=0),"",C23*$E$129)</f>
        <v>83145.257135493739</v>
      </c>
      <c r="D36" s="835">
        <f t="shared" ca="1" si="12"/>
        <v>90417.759042150021</v>
      </c>
      <c r="E36" s="835">
        <f t="shared" ca="1" si="12"/>
        <v>68373.756109394919</v>
      </c>
      <c r="F36" s="835">
        <f t="shared" ca="1" si="12"/>
        <v>30337.827966353663</v>
      </c>
      <c r="G36" s="835">
        <f t="shared" ca="1" si="12"/>
        <v>11612.719065454427</v>
      </c>
      <c r="H36" s="835">
        <f t="shared" ca="1" si="12"/>
        <v>23910.06717894513</v>
      </c>
      <c r="I36" s="835">
        <f t="shared" ca="1" si="12"/>
        <v>36656.368538578907</v>
      </c>
      <c r="J36" s="835">
        <f t="shared" ca="1" si="12"/>
        <v>49866.692397793449</v>
      </c>
      <c r="K36" s="835">
        <f t="shared" ca="1" si="12"/>
        <v>63556.592100754351</v>
      </c>
      <c r="L36" s="835">
        <f t="shared" ca="1" si="12"/>
        <v>77742.120245330414</v>
      </c>
      <c r="M36" s="421">
        <f t="shared" ca="1" si="5"/>
        <v>535619.159780249</v>
      </c>
      <c r="N36" s="75"/>
    </row>
    <row r="37" spans="2:14" outlineLevel="1" x14ac:dyDescent="0.2">
      <c r="B37" s="834" t="s">
        <v>102</v>
      </c>
      <c r="C37" s="835">
        <f t="shared" ref="C37:L37" ca="1" si="13">IF(OR(C24="",C24=0,C$35=0),"",C24*$E$129)</f>
        <v>206549.99999999997</v>
      </c>
      <c r="D37" s="835" t="str">
        <f t="shared" ca="1" si="13"/>
        <v/>
      </c>
      <c r="E37" s="835" t="str">
        <f t="shared" ca="1" si="13"/>
        <v/>
      </c>
      <c r="F37" s="835" t="str">
        <f t="shared" ca="1" si="13"/>
        <v/>
      </c>
      <c r="G37" s="835" t="str">
        <f t="shared" ca="1" si="13"/>
        <v/>
      </c>
      <c r="H37" s="835" t="str">
        <f t="shared" ca="1" si="13"/>
        <v/>
      </c>
      <c r="I37" s="835" t="str">
        <f t="shared" ca="1" si="13"/>
        <v/>
      </c>
      <c r="J37" s="835" t="str">
        <f t="shared" ca="1" si="13"/>
        <v/>
      </c>
      <c r="K37" s="835" t="str">
        <f t="shared" ca="1" si="13"/>
        <v/>
      </c>
      <c r="L37" s="835" t="str">
        <f t="shared" ca="1" si="13"/>
        <v/>
      </c>
      <c r="M37" s="421">
        <f t="shared" ca="1" si="5"/>
        <v>206549.99999999997</v>
      </c>
      <c r="N37" s="75"/>
    </row>
    <row r="38" spans="2:14" outlineLevel="1" x14ac:dyDescent="0.2">
      <c r="B38" s="834" t="s">
        <v>238</v>
      </c>
      <c r="C38" s="835">
        <f t="shared" ref="C38:L38" ca="1" si="14">IF(OR(C25="",C25=0,C$35=0),"",C25*$E$129)</f>
        <v>32054.781417187496</v>
      </c>
      <c r="D38" s="835">
        <f t="shared" ca="1" si="14"/>
        <v>32765.345234999993</v>
      </c>
      <c r="E38" s="835">
        <f t="shared" ca="1" si="14"/>
        <v>33748.305592049997</v>
      </c>
      <c r="F38" s="835">
        <f t="shared" ca="1" si="14"/>
        <v>34760.754759811498</v>
      </c>
      <c r="G38" s="835">
        <f t="shared" ca="1" si="14"/>
        <v>35803.577402605835</v>
      </c>
      <c r="H38" s="835">
        <f t="shared" ca="1" si="14"/>
        <v>36877.684724684012</v>
      </c>
      <c r="I38" s="835">
        <f t="shared" ca="1" si="14"/>
        <v>37984.01526642454</v>
      </c>
      <c r="J38" s="835">
        <f t="shared" ca="1" si="14"/>
        <v>39123.53572441727</v>
      </c>
      <c r="K38" s="835">
        <f t="shared" ca="1" si="14"/>
        <v>40297.241796149807</v>
      </c>
      <c r="L38" s="835">
        <f t="shared" ca="1" si="14"/>
        <v>41506.159050034301</v>
      </c>
      <c r="M38" s="421">
        <f t="shared" ca="1" si="5"/>
        <v>364921.40096836473</v>
      </c>
      <c r="N38" s="75"/>
    </row>
    <row r="39" spans="2:14" outlineLevel="1" x14ac:dyDescent="0.2">
      <c r="B39" s="834" t="s">
        <v>353</v>
      </c>
      <c r="C39" s="835" t="str">
        <f t="shared" ref="C39:L39" ca="1" si="15">IF(OR(C26="",C26=0,C$35=0),"",C26*$E$129)</f>
        <v/>
      </c>
      <c r="D39" s="835" t="str">
        <f t="shared" ca="1" si="15"/>
        <v/>
      </c>
      <c r="E39" s="835" t="str">
        <f t="shared" ca="1" si="15"/>
        <v/>
      </c>
      <c r="F39" s="835" t="str">
        <f t="shared" ca="1" si="15"/>
        <v/>
      </c>
      <c r="G39" s="835" t="str">
        <f t="shared" ca="1" si="15"/>
        <v/>
      </c>
      <c r="H39" s="835" t="str">
        <f t="shared" ca="1" si="15"/>
        <v/>
      </c>
      <c r="I39" s="835" t="str">
        <f t="shared" ca="1" si="15"/>
        <v/>
      </c>
      <c r="J39" s="835" t="str">
        <f t="shared" ca="1" si="15"/>
        <v/>
      </c>
      <c r="K39" s="835" t="str">
        <f t="shared" ca="1" si="15"/>
        <v/>
      </c>
      <c r="L39" s="835" t="str">
        <f t="shared" ca="1" si="15"/>
        <v/>
      </c>
      <c r="M39" s="421">
        <f t="shared" ca="1" si="5"/>
        <v>0</v>
      </c>
      <c r="N39" s="89"/>
    </row>
    <row r="40" spans="2:14" outlineLevel="1" x14ac:dyDescent="0.2">
      <c r="B40" s="836" t="s">
        <v>187</v>
      </c>
      <c r="C40" s="835" t="str">
        <f t="shared" ref="C40:L40" ca="1" si="16">IF(OR(C27="",C27=0,C$35=0),"",C27*$E$129)</f>
        <v/>
      </c>
      <c r="D40" s="835" t="str">
        <f t="shared" ca="1" si="16"/>
        <v/>
      </c>
      <c r="E40" s="835" t="str">
        <f t="shared" ca="1" si="16"/>
        <v/>
      </c>
      <c r="F40" s="835" t="str">
        <f t="shared" ca="1" si="16"/>
        <v/>
      </c>
      <c r="G40" s="835" t="str">
        <f t="shared" ca="1" si="16"/>
        <v/>
      </c>
      <c r="H40" s="835" t="str">
        <f t="shared" ca="1" si="16"/>
        <v/>
      </c>
      <c r="I40" s="835" t="str">
        <f t="shared" ca="1" si="16"/>
        <v/>
      </c>
      <c r="J40" s="835" t="str">
        <f t="shared" ca="1" si="16"/>
        <v/>
      </c>
      <c r="K40" s="835" t="str">
        <f t="shared" ca="1" si="16"/>
        <v/>
      </c>
      <c r="L40" s="835">
        <f t="shared" ca="1" si="16"/>
        <v>891105.10145011451</v>
      </c>
      <c r="M40" s="592">
        <f t="shared" ca="1" si="5"/>
        <v>891105.10145011451</v>
      </c>
      <c r="N40" s="89"/>
    </row>
    <row r="41" spans="2:14" outlineLevel="1" x14ac:dyDescent="0.2">
      <c r="B41" s="837" t="str">
        <f>B93</f>
        <v>Partner 3</v>
      </c>
      <c r="C41" s="838">
        <f t="shared" ref="C41:L41" ca="1" si="17">IF(C28="","",C28*$E$130)</f>
        <v>0</v>
      </c>
      <c r="D41" s="838">
        <f t="shared" ca="1" si="17"/>
        <v>0</v>
      </c>
      <c r="E41" s="838">
        <f t="shared" ca="1" si="17"/>
        <v>0</v>
      </c>
      <c r="F41" s="838">
        <f t="shared" ca="1" si="17"/>
        <v>0</v>
      </c>
      <c r="G41" s="838">
        <f t="shared" ca="1" si="17"/>
        <v>0</v>
      </c>
      <c r="H41" s="838">
        <f t="shared" ca="1" si="17"/>
        <v>0</v>
      </c>
      <c r="I41" s="838">
        <f t="shared" ca="1" si="17"/>
        <v>0</v>
      </c>
      <c r="J41" s="838">
        <f t="shared" ca="1" si="17"/>
        <v>0</v>
      </c>
      <c r="K41" s="838">
        <f t="shared" ca="1" si="17"/>
        <v>0</v>
      </c>
      <c r="L41" s="838">
        <f t="shared" ca="1" si="17"/>
        <v>0</v>
      </c>
      <c r="M41" s="839">
        <f t="shared" ca="1" si="5"/>
        <v>0</v>
      </c>
      <c r="N41" s="415"/>
    </row>
    <row r="42" spans="2:14" outlineLevel="1" x14ac:dyDescent="0.2">
      <c r="B42" s="834" t="str">
        <f>B36</f>
        <v>Distributions from Cash Flow</v>
      </c>
      <c r="C42" s="835" t="str">
        <f t="shared" ref="C42:L42" ca="1" si="18">IF(OR(C23="",C23=0,C$41=0),"",C23*$E$130)</f>
        <v/>
      </c>
      <c r="D42" s="835" t="str">
        <f t="shared" ca="1" si="18"/>
        <v/>
      </c>
      <c r="E42" s="835" t="str">
        <f t="shared" ca="1" si="18"/>
        <v/>
      </c>
      <c r="F42" s="835" t="str">
        <f t="shared" ca="1" si="18"/>
        <v/>
      </c>
      <c r="G42" s="835" t="str">
        <f t="shared" ca="1" si="18"/>
        <v/>
      </c>
      <c r="H42" s="835" t="str">
        <f t="shared" ca="1" si="18"/>
        <v/>
      </c>
      <c r="I42" s="835" t="str">
        <f t="shared" ca="1" si="18"/>
        <v/>
      </c>
      <c r="J42" s="835" t="str">
        <f t="shared" ca="1" si="18"/>
        <v/>
      </c>
      <c r="K42" s="835" t="str">
        <f t="shared" ca="1" si="18"/>
        <v/>
      </c>
      <c r="L42" s="835" t="str">
        <f t="shared" ca="1" si="18"/>
        <v/>
      </c>
      <c r="M42" s="421">
        <f t="shared" ca="1" si="5"/>
        <v>0</v>
      </c>
      <c r="N42" s="75"/>
    </row>
    <row r="43" spans="2:14" outlineLevel="1" x14ac:dyDescent="0.2">
      <c r="B43" s="834" t="s">
        <v>102</v>
      </c>
      <c r="C43" s="835" t="str">
        <f t="shared" ref="C43:L43" ca="1" si="19">IF(OR(C24="",C24=0,C$41=0),"",C24*$E$130)</f>
        <v/>
      </c>
      <c r="D43" s="835" t="str">
        <f t="shared" ca="1" si="19"/>
        <v/>
      </c>
      <c r="E43" s="835" t="str">
        <f t="shared" ca="1" si="19"/>
        <v/>
      </c>
      <c r="F43" s="835" t="str">
        <f t="shared" ca="1" si="19"/>
        <v/>
      </c>
      <c r="G43" s="835" t="str">
        <f t="shared" ca="1" si="19"/>
        <v/>
      </c>
      <c r="H43" s="835" t="str">
        <f t="shared" ca="1" si="19"/>
        <v/>
      </c>
      <c r="I43" s="835" t="str">
        <f t="shared" ca="1" si="19"/>
        <v/>
      </c>
      <c r="J43" s="835" t="str">
        <f t="shared" ca="1" si="19"/>
        <v/>
      </c>
      <c r="K43" s="835" t="str">
        <f t="shared" ca="1" si="19"/>
        <v/>
      </c>
      <c r="L43" s="835" t="str">
        <f t="shared" ca="1" si="19"/>
        <v/>
      </c>
      <c r="M43" s="421">
        <f t="shared" ca="1" si="5"/>
        <v>0</v>
      </c>
      <c r="N43" s="75"/>
    </row>
    <row r="44" spans="2:14" outlineLevel="1" x14ac:dyDescent="0.2">
      <c r="B44" s="834" t="s">
        <v>238</v>
      </c>
      <c r="C44" s="835" t="str">
        <f t="shared" ref="C44:L44" ca="1" si="20">IF(OR(C25="",C25=0,C$41=0),"",C25*$E$130)</f>
        <v/>
      </c>
      <c r="D44" s="835" t="str">
        <f t="shared" ca="1" si="20"/>
        <v/>
      </c>
      <c r="E44" s="835" t="str">
        <f t="shared" ca="1" si="20"/>
        <v/>
      </c>
      <c r="F44" s="835" t="str">
        <f t="shared" ca="1" si="20"/>
        <v/>
      </c>
      <c r="G44" s="835" t="str">
        <f t="shared" ca="1" si="20"/>
        <v/>
      </c>
      <c r="H44" s="835" t="str">
        <f t="shared" ca="1" si="20"/>
        <v/>
      </c>
      <c r="I44" s="835" t="str">
        <f t="shared" ca="1" si="20"/>
        <v/>
      </c>
      <c r="J44" s="835" t="str">
        <f t="shared" ca="1" si="20"/>
        <v/>
      </c>
      <c r="K44" s="835" t="str">
        <f t="shared" ca="1" si="20"/>
        <v/>
      </c>
      <c r="L44" s="835" t="str">
        <f t="shared" ca="1" si="20"/>
        <v/>
      </c>
      <c r="M44" s="421">
        <f t="shared" ca="1" si="5"/>
        <v>0</v>
      </c>
      <c r="N44" s="75"/>
    </row>
    <row r="45" spans="2:14" outlineLevel="1" x14ac:dyDescent="0.2">
      <c r="B45" s="834" t="s">
        <v>353</v>
      </c>
      <c r="C45" s="835" t="str">
        <f t="shared" ref="C45:L45" ca="1" si="21">IF(OR(C26="",C26=0,C$41=0),"",C26*$E$130)</f>
        <v/>
      </c>
      <c r="D45" s="835" t="str">
        <f t="shared" ca="1" si="21"/>
        <v/>
      </c>
      <c r="E45" s="835" t="str">
        <f t="shared" ca="1" si="21"/>
        <v/>
      </c>
      <c r="F45" s="835" t="str">
        <f t="shared" ca="1" si="21"/>
        <v/>
      </c>
      <c r="G45" s="835" t="str">
        <f t="shared" ca="1" si="21"/>
        <v/>
      </c>
      <c r="H45" s="835" t="str">
        <f t="shared" ca="1" si="21"/>
        <v/>
      </c>
      <c r="I45" s="835" t="str">
        <f t="shared" ca="1" si="21"/>
        <v/>
      </c>
      <c r="J45" s="835" t="str">
        <f t="shared" ca="1" si="21"/>
        <v/>
      </c>
      <c r="K45" s="835" t="str">
        <f t="shared" ca="1" si="21"/>
        <v/>
      </c>
      <c r="L45" s="835" t="str">
        <f t="shared" ca="1" si="21"/>
        <v/>
      </c>
      <c r="M45" s="421">
        <f t="shared" ca="1" si="5"/>
        <v>0</v>
      </c>
      <c r="N45" s="89"/>
    </row>
    <row r="46" spans="2:14" outlineLevel="1" x14ac:dyDescent="0.2">
      <c r="B46" s="836" t="s">
        <v>187</v>
      </c>
      <c r="C46" s="835" t="str">
        <f t="shared" ref="C46:L46" ca="1" si="22">IF(OR(C27="",C27=0,C$41=0),"",C27*$E$130)</f>
        <v/>
      </c>
      <c r="D46" s="835" t="str">
        <f t="shared" ca="1" si="22"/>
        <v/>
      </c>
      <c r="E46" s="835" t="str">
        <f t="shared" ca="1" si="22"/>
        <v/>
      </c>
      <c r="F46" s="835" t="str">
        <f t="shared" ca="1" si="22"/>
        <v/>
      </c>
      <c r="G46" s="835" t="str">
        <f t="shared" ca="1" si="22"/>
        <v/>
      </c>
      <c r="H46" s="835" t="str">
        <f t="shared" ca="1" si="22"/>
        <v/>
      </c>
      <c r="I46" s="835" t="str">
        <f t="shared" ca="1" si="22"/>
        <v/>
      </c>
      <c r="J46" s="835" t="str">
        <f t="shared" ca="1" si="22"/>
        <v/>
      </c>
      <c r="K46" s="835" t="str">
        <f t="shared" ca="1" si="22"/>
        <v/>
      </c>
      <c r="L46" s="835" t="str">
        <f t="shared" ca="1" si="22"/>
        <v/>
      </c>
      <c r="M46" s="592">
        <f t="shared" ca="1" si="5"/>
        <v>0</v>
      </c>
      <c r="N46" s="89"/>
    </row>
    <row r="47" spans="2:14" ht="12.75" outlineLevel="1" thickBot="1" x14ac:dyDescent="0.25">
      <c r="B47" s="840" t="str">
        <f>B94</f>
        <v>Partner 4</v>
      </c>
      <c r="C47" s="841">
        <f t="shared" ref="C47:L47" ca="1" si="23">IF(C28="","",C28*$E$131)</f>
        <v>0</v>
      </c>
      <c r="D47" s="841">
        <f t="shared" ca="1" si="23"/>
        <v>0</v>
      </c>
      <c r="E47" s="841">
        <f t="shared" ca="1" si="23"/>
        <v>0</v>
      </c>
      <c r="F47" s="841">
        <f t="shared" ca="1" si="23"/>
        <v>0</v>
      </c>
      <c r="G47" s="841">
        <f t="shared" ca="1" si="23"/>
        <v>0</v>
      </c>
      <c r="H47" s="841">
        <f t="shared" ca="1" si="23"/>
        <v>0</v>
      </c>
      <c r="I47" s="841">
        <f t="shared" ca="1" si="23"/>
        <v>0</v>
      </c>
      <c r="J47" s="841">
        <f t="shared" ca="1" si="23"/>
        <v>0</v>
      </c>
      <c r="K47" s="841">
        <f t="shared" ca="1" si="23"/>
        <v>0</v>
      </c>
      <c r="L47" s="841">
        <f t="shared" ca="1" si="23"/>
        <v>0</v>
      </c>
      <c r="M47" s="842">
        <f t="shared" ca="1" si="5"/>
        <v>0</v>
      </c>
      <c r="N47" s="415"/>
    </row>
    <row r="48" spans="2:14" outlineLevel="1" x14ac:dyDescent="0.2">
      <c r="B48" s="834" t="str">
        <f>B42</f>
        <v>Distributions from Cash Flow</v>
      </c>
      <c r="C48" s="835" t="str">
        <f t="shared" ref="C48:L48" ca="1" si="24">IF(OR(C23="",C23=0,C$47=0),"",C23*$E$131)</f>
        <v/>
      </c>
      <c r="D48" s="835" t="str">
        <f t="shared" ca="1" si="24"/>
        <v/>
      </c>
      <c r="E48" s="835" t="str">
        <f t="shared" ca="1" si="24"/>
        <v/>
      </c>
      <c r="F48" s="835" t="str">
        <f t="shared" ca="1" si="24"/>
        <v/>
      </c>
      <c r="G48" s="835" t="str">
        <f t="shared" ca="1" si="24"/>
        <v/>
      </c>
      <c r="H48" s="835" t="str">
        <f t="shared" ca="1" si="24"/>
        <v/>
      </c>
      <c r="I48" s="835" t="str">
        <f t="shared" ca="1" si="24"/>
        <v/>
      </c>
      <c r="J48" s="835" t="str">
        <f t="shared" ca="1" si="24"/>
        <v/>
      </c>
      <c r="K48" s="835" t="str">
        <f t="shared" ca="1" si="24"/>
        <v/>
      </c>
      <c r="L48" s="835" t="str">
        <f t="shared" ca="1" si="24"/>
        <v/>
      </c>
      <c r="M48" s="421">
        <f t="shared" ca="1" si="5"/>
        <v>0</v>
      </c>
      <c r="N48" s="75"/>
    </row>
    <row r="49" spans="2:21" outlineLevel="1" x14ac:dyDescent="0.2">
      <c r="B49" s="834" t="s">
        <v>102</v>
      </c>
      <c r="C49" s="835" t="str">
        <f t="shared" ref="C49:L49" ca="1" si="25">IF(OR(C24="",C24=0,C$47=0),"",C24*$E$131)</f>
        <v/>
      </c>
      <c r="D49" s="835" t="str">
        <f t="shared" ca="1" si="25"/>
        <v/>
      </c>
      <c r="E49" s="835" t="str">
        <f t="shared" ca="1" si="25"/>
        <v/>
      </c>
      <c r="F49" s="835" t="str">
        <f t="shared" ca="1" si="25"/>
        <v/>
      </c>
      <c r="G49" s="835" t="str">
        <f t="shared" ca="1" si="25"/>
        <v/>
      </c>
      <c r="H49" s="835" t="str">
        <f t="shared" ca="1" si="25"/>
        <v/>
      </c>
      <c r="I49" s="835" t="str">
        <f t="shared" ca="1" si="25"/>
        <v/>
      </c>
      <c r="J49" s="835" t="str">
        <f t="shared" ca="1" si="25"/>
        <v/>
      </c>
      <c r="K49" s="835" t="str">
        <f t="shared" ca="1" si="25"/>
        <v/>
      </c>
      <c r="L49" s="835" t="str">
        <f t="shared" ca="1" si="25"/>
        <v/>
      </c>
      <c r="M49" s="421">
        <f t="shared" ca="1" si="5"/>
        <v>0</v>
      </c>
      <c r="N49" s="75"/>
    </row>
    <row r="50" spans="2:21" outlineLevel="1" x14ac:dyDescent="0.2">
      <c r="B50" s="834" t="s">
        <v>238</v>
      </c>
      <c r="C50" s="835" t="str">
        <f t="shared" ref="C50:L50" ca="1" si="26">IF(OR(C25="",C25=0,C$47=0),"",C25*$E$131)</f>
        <v/>
      </c>
      <c r="D50" s="835" t="str">
        <f t="shared" ca="1" si="26"/>
        <v/>
      </c>
      <c r="E50" s="835" t="str">
        <f t="shared" ca="1" si="26"/>
        <v/>
      </c>
      <c r="F50" s="835" t="str">
        <f t="shared" ca="1" si="26"/>
        <v/>
      </c>
      <c r="G50" s="835" t="str">
        <f t="shared" ca="1" si="26"/>
        <v/>
      </c>
      <c r="H50" s="835" t="str">
        <f t="shared" ca="1" si="26"/>
        <v/>
      </c>
      <c r="I50" s="835" t="str">
        <f t="shared" ca="1" si="26"/>
        <v/>
      </c>
      <c r="J50" s="835" t="str">
        <f t="shared" ca="1" si="26"/>
        <v/>
      </c>
      <c r="K50" s="835" t="str">
        <f t="shared" ca="1" si="26"/>
        <v/>
      </c>
      <c r="L50" s="835" t="str">
        <f t="shared" ca="1" si="26"/>
        <v/>
      </c>
      <c r="M50" s="421">
        <f t="shared" ca="1" si="5"/>
        <v>0</v>
      </c>
      <c r="N50" s="75"/>
    </row>
    <row r="51" spans="2:21" outlineLevel="1" x14ac:dyDescent="0.2">
      <c r="B51" s="834" t="s">
        <v>353</v>
      </c>
      <c r="C51" s="835" t="str">
        <f t="shared" ref="C51:L51" ca="1" si="27">IF(OR(C26="",C26=0,C$47=0),"",C26*$E$131)</f>
        <v/>
      </c>
      <c r="D51" s="835" t="str">
        <f t="shared" ca="1" si="27"/>
        <v/>
      </c>
      <c r="E51" s="835" t="str">
        <f t="shared" ca="1" si="27"/>
        <v/>
      </c>
      <c r="F51" s="835" t="str">
        <f t="shared" ca="1" si="27"/>
        <v/>
      </c>
      <c r="G51" s="835" t="str">
        <f t="shared" ca="1" si="27"/>
        <v/>
      </c>
      <c r="H51" s="835" t="str">
        <f t="shared" ca="1" si="27"/>
        <v/>
      </c>
      <c r="I51" s="835" t="str">
        <f t="shared" ca="1" si="27"/>
        <v/>
      </c>
      <c r="J51" s="835" t="str">
        <f t="shared" ca="1" si="27"/>
        <v/>
      </c>
      <c r="K51" s="835" t="str">
        <f t="shared" ca="1" si="27"/>
        <v/>
      </c>
      <c r="L51" s="835" t="str">
        <f t="shared" ca="1" si="27"/>
        <v/>
      </c>
      <c r="M51" s="421">
        <f t="shared" ca="1" si="5"/>
        <v>0</v>
      </c>
      <c r="N51" s="89"/>
    </row>
    <row r="52" spans="2:21" ht="12.75" outlineLevel="1" thickBot="1" x14ac:dyDescent="0.25">
      <c r="B52" s="843" t="s">
        <v>187</v>
      </c>
      <c r="C52" s="844" t="str">
        <f t="shared" ref="C52:L52" ca="1" si="28">IF(OR(C27="",C27=0,C$47=0),"",C27*$E$131)</f>
        <v/>
      </c>
      <c r="D52" s="844" t="str">
        <f t="shared" ca="1" si="28"/>
        <v/>
      </c>
      <c r="E52" s="844" t="str">
        <f t="shared" ca="1" si="28"/>
        <v/>
      </c>
      <c r="F52" s="844" t="str">
        <f t="shared" ca="1" si="28"/>
        <v/>
      </c>
      <c r="G52" s="844" t="str">
        <f t="shared" ca="1" si="28"/>
        <v/>
      </c>
      <c r="H52" s="844" t="str">
        <f t="shared" ca="1" si="28"/>
        <v/>
      </c>
      <c r="I52" s="844" t="str">
        <f t="shared" ca="1" si="28"/>
        <v/>
      </c>
      <c r="J52" s="844" t="str">
        <f t="shared" ca="1" si="28"/>
        <v/>
      </c>
      <c r="K52" s="844" t="str">
        <f t="shared" ca="1" si="28"/>
        <v/>
      </c>
      <c r="L52" s="844" t="str">
        <f t="shared" ca="1" si="28"/>
        <v/>
      </c>
      <c r="M52" s="829">
        <f t="shared" ca="1" si="5"/>
        <v>0</v>
      </c>
      <c r="N52" s="89"/>
    </row>
    <row r="53" spans="2:21" x14ac:dyDescent="0.2">
      <c r="N53" s="415"/>
    </row>
    <row r="54" spans="2:21" x14ac:dyDescent="0.2">
      <c r="B54" s="394" t="s">
        <v>84</v>
      </c>
      <c r="C54" s="204"/>
      <c r="D54" s="204"/>
      <c r="E54" s="204"/>
    </row>
    <row r="55" spans="2:21" ht="12.75" thickBot="1" x14ac:dyDescent="0.25">
      <c r="B55" s="205"/>
      <c r="C55" s="395" t="str">
        <f>IF(C56='Exit Strategies'!$D$4,"REFINANCE!",IF(C56='Exit Strategies'!$D$5,"SALE!",""))</f>
        <v/>
      </c>
      <c r="D55" s="395" t="str">
        <f>IF(D56='Exit Strategies'!$D$4,"REFINANCE!",IF(D56='Exit Strategies'!$D$5,"SALE!",""))</f>
        <v/>
      </c>
      <c r="E55" s="395" t="str">
        <f>IF(E56='Exit Strategies'!$D$4,"REFINANCE!",IF(E56='Exit Strategies'!$D$5,"SALE!",""))</f>
        <v/>
      </c>
      <c r="F55" s="395" t="str">
        <f>IF(F56='Exit Strategies'!$D$4,"REFINANCE!",IF(F56='Exit Strategies'!$D$5,"SALE!",""))</f>
        <v/>
      </c>
      <c r="G55" s="395" t="str">
        <f>IF(G56='Exit Strategies'!$D$4,"REFINANCE!",IF(G56='Exit Strategies'!$D$5,"SALE!",""))</f>
        <v/>
      </c>
      <c r="H55" s="395" t="str">
        <f>IF(H56='Exit Strategies'!$D$4,"REFINANCE!",IF(H56='Exit Strategies'!$D$5,"SALE!",""))</f>
        <v/>
      </c>
      <c r="I55" s="395" t="str">
        <f>IF(I56='Exit Strategies'!$D$4,"REFINANCE!",IF(I56='Exit Strategies'!$D$5,"SALE!",""))</f>
        <v/>
      </c>
      <c r="J55" s="395" t="str">
        <f>IF(J56='Exit Strategies'!$D$4,"REFINANCE!",IF(J56='Exit Strategies'!$D$5,"SALE!",""))</f>
        <v/>
      </c>
      <c r="K55" s="395" t="str">
        <f>IF(K56='Exit Strategies'!$D$4,"REFINANCE!",IF(K56='Exit Strategies'!$D$5,"SALE!",""))</f>
        <v/>
      </c>
      <c r="L55" s="395" t="str">
        <f>IF(L56='Exit Strategies'!$D$4,"REFINANCE!",IF(L56='Exit Strategies'!$D$5,"SALE!",""))</f>
        <v>SALE!</v>
      </c>
    </row>
    <row r="56" spans="2:21" x14ac:dyDescent="0.2">
      <c r="B56" s="407"/>
      <c r="C56" s="416">
        <v>1</v>
      </c>
      <c r="D56" s="416">
        <f>C56+1</f>
        <v>2</v>
      </c>
      <c r="E56" s="416">
        <f t="shared" ref="E56:L56" si="29">D56+1</f>
        <v>3</v>
      </c>
      <c r="F56" s="416">
        <f t="shared" si="29"/>
        <v>4</v>
      </c>
      <c r="G56" s="416">
        <f t="shared" si="29"/>
        <v>5</v>
      </c>
      <c r="H56" s="416">
        <f t="shared" si="29"/>
        <v>6</v>
      </c>
      <c r="I56" s="416">
        <f t="shared" si="29"/>
        <v>7</v>
      </c>
      <c r="J56" s="416">
        <f t="shared" si="29"/>
        <v>8</v>
      </c>
      <c r="K56" s="416">
        <f t="shared" si="29"/>
        <v>9</v>
      </c>
      <c r="L56" s="416">
        <f t="shared" si="29"/>
        <v>10</v>
      </c>
      <c r="M56" s="416" t="s">
        <v>79</v>
      </c>
      <c r="N56" s="417" t="s">
        <v>78</v>
      </c>
    </row>
    <row r="57" spans="2:21" x14ac:dyDescent="0.2">
      <c r="B57" s="420" t="s">
        <v>196</v>
      </c>
      <c r="C57" s="408">
        <f>C6</f>
        <v>3697210.9879999999</v>
      </c>
      <c r="D57" s="408">
        <f t="shared" ref="D57:L57" si="30">D6</f>
        <v>3697210.9879999999</v>
      </c>
      <c r="E57" s="408">
        <f t="shared" si="30"/>
        <v>3697210.9879999999</v>
      </c>
      <c r="F57" s="408">
        <f t="shared" si="30"/>
        <v>3697210.9879999999</v>
      </c>
      <c r="G57" s="408">
        <f t="shared" si="30"/>
        <v>3697210.9879999999</v>
      </c>
      <c r="H57" s="408">
        <f t="shared" si="30"/>
        <v>3697210.9879999999</v>
      </c>
      <c r="I57" s="408">
        <f t="shared" si="30"/>
        <v>3697210.9879999999</v>
      </c>
      <c r="J57" s="408">
        <f t="shared" si="30"/>
        <v>3697210.9879999999</v>
      </c>
      <c r="K57" s="408">
        <f t="shared" si="30"/>
        <v>3697210.9879999999</v>
      </c>
      <c r="L57" s="408">
        <f t="shared" si="30"/>
        <v>3697210.9879999999</v>
      </c>
      <c r="M57" s="408"/>
      <c r="N57" s="409"/>
    </row>
    <row r="58" spans="2:21" x14ac:dyDescent="0.2">
      <c r="B58" s="811" t="s">
        <v>200</v>
      </c>
      <c r="C58" s="805">
        <f ca="1">IF(C56&gt;'Exit Strategies'!$D$5,"",'P&amp;L'!D39)</f>
        <v>753859.30649999995</v>
      </c>
      <c r="D58" s="805">
        <f ca="1">IF(D56&gt;'Exit Strategies'!$D$5,"",'P&amp;L'!F39)</f>
        <v>790825.58330000006</v>
      </c>
      <c r="E58" s="805">
        <f ca="1">IF(E56&gt;'Exit Strategies'!$D$5,"",'P&amp;L'!H39)</f>
        <v>683422.54712399957</v>
      </c>
      <c r="F58" s="805">
        <f ca="1">IF(F56&gt;'Exit Strategies'!$D$5,"",'P&amp;L'!J39)</f>
        <v>497090.72790072649</v>
      </c>
      <c r="G58" s="805">
        <f ca="1">IF(G56&gt;'Exit Strategies'!$D$5,"",'P&amp;L'!L39)</f>
        <v>406165.97674980829</v>
      </c>
      <c r="H58" s="805">
        <f ca="1">IF(H56&gt;'Exit Strategies'!$D$5,"",'P&amp;L'!N39)</f>
        <v>468484.89186148311</v>
      </c>
      <c r="I58" s="805">
        <f ca="1">IF(I56&gt;'Exit Strategies'!$D$5,"",'P&amp;L'!P39)</f>
        <v>533068.59814373462</v>
      </c>
      <c r="J58" s="805">
        <f ca="1">IF(J56&gt;'Exit Strategies'!$D$5,"",'P&amp;L'!R39)</f>
        <v>599992.94380601798</v>
      </c>
      <c r="K58" s="805">
        <f ca="1">IF(K56&gt;'Exit Strategies'!$D$5,"",'P&amp;L'!T39)</f>
        <v>669336.21059357678</v>
      </c>
      <c r="L58" s="805">
        <f ca="1">IF(L56&gt;'Exit Strategies'!$D$5,"",'P&amp;L'!V39)</f>
        <v>741179.1899552627</v>
      </c>
      <c r="M58" s="809">
        <f ca="1">SUM(C58:L58)</f>
        <v>6143425.9759346088</v>
      </c>
      <c r="N58" s="822"/>
    </row>
    <row r="59" spans="2:21" x14ac:dyDescent="0.2">
      <c r="B59" s="420" t="s">
        <v>76</v>
      </c>
      <c r="C59" s="402">
        <f ca="1">IF(C56&gt;'Exit Strategies'!$D$5,"",IF(C57=0,"INFINITY",C58/C57))</f>
        <v>0.20389945527771972</v>
      </c>
      <c r="D59" s="402">
        <f ca="1">IF(D56&gt;'Exit Strategies'!$D$5,"",IF(D57=0,"INFINITY",D58/D57))</f>
        <v>0.21389787758036385</v>
      </c>
      <c r="E59" s="402">
        <f ca="1">IF(E56&gt;'Exit Strategies'!$D$5,"",IF(E57=0,"INFINITY",E58/E57))</f>
        <v>0.18484813264435737</v>
      </c>
      <c r="F59" s="402">
        <f ca="1">IF(F56&gt;'Exit Strategies'!$D$5,"",IF(F57=0,"INFINITY",F58/F57))</f>
        <v>0.13445019218922827</v>
      </c>
      <c r="G59" s="402">
        <f ca="1">IF(G56&gt;'Exit Strategies'!$D$5,"",IF(G57=0,"INFINITY",G58/G57))</f>
        <v>0.10985739739173585</v>
      </c>
      <c r="H59" s="402">
        <f ca="1">IF(H56&gt;'Exit Strategies'!$D$5,"",IF(H57=0,"INFINITY",H58/H57))</f>
        <v>0.12671305299644509</v>
      </c>
      <c r="I59" s="402">
        <f ca="1">IF(I56&gt;'Exit Strategies'!$D$5,"",IF(I57=0,"INFINITY",I58/I57))</f>
        <v>0.14418127606834177</v>
      </c>
      <c r="J59" s="402">
        <f ca="1">IF(J56&gt;'Exit Strategies'!$D$5,"",IF(J57=0,"INFINITY",J58/J57))</f>
        <v>0.16228258158742062</v>
      </c>
      <c r="K59" s="402">
        <f ca="1">IF(K56&gt;'Exit Strategies'!$D$5,"",IF(K57=0,"INFINITY",K58/K57))</f>
        <v>0.18103814274220068</v>
      </c>
      <c r="L59" s="402">
        <f ca="1">IF(L56&gt;'Exit Strategies'!$D$5,"",IF(L57=0,"INFINITY",L58/L57))</f>
        <v>0.20046981153115156</v>
      </c>
      <c r="M59" s="400"/>
      <c r="N59" s="406"/>
      <c r="P59" s="396"/>
    </row>
    <row r="60" spans="2:21" ht="12.75" x14ac:dyDescent="0.2">
      <c r="B60" s="812" t="s">
        <v>322</v>
      </c>
      <c r="C60" s="807">
        <f ca="1">IF(C57=0,"",IF(C56&gt;'Exit Strategies'!$D$5,"",AVERAGE(C59)))</f>
        <v>0.20389945527771972</v>
      </c>
      <c r="D60" s="807">
        <f ca="1">IF(D57=0,"",IF(D56&gt;'Exit Strategies'!$D$5,"",AVERAGE(C59:D59)))</f>
        <v>0.20889866642904178</v>
      </c>
      <c r="E60" s="807">
        <f ca="1">IF(E57=0,"",IF(E56&gt;'Exit Strategies'!$D$5,"",AVERAGE(C59:E59)))</f>
        <v>0.20088182183414696</v>
      </c>
      <c r="F60" s="807">
        <f ca="1">IF(F57=0,"",IF(F56&gt;'Exit Strategies'!$D$5,"",AVERAGE(C59:F59)))</f>
        <v>0.1842739144229173</v>
      </c>
      <c r="G60" s="807">
        <f ca="1">IF(G57=0,"",IF(G56&gt;'Exit Strategies'!$D$5,"",AVERAGE(C59:G59)))</f>
        <v>0.16939061101668101</v>
      </c>
      <c r="H60" s="807">
        <f ca="1">IF(H57=0,"",IF(H56&gt;'Exit Strategies'!$D$5,"",AVERAGE(C59:H59)))</f>
        <v>0.16227768467997503</v>
      </c>
      <c r="I60" s="807">
        <f ca="1">IF(I57=0,"",IF(I56&gt;'Exit Strategies'!$D$5,"",AVERAGE(C59:I59)))</f>
        <v>0.15969248344974171</v>
      </c>
      <c r="J60" s="807">
        <f ca="1">IF(J57=0,"",IF(J56&gt;'Exit Strategies'!$D$5,"",AVERAGE(C59:J59)))</f>
        <v>0.16001624571695158</v>
      </c>
      <c r="K60" s="807">
        <f ca="1">IF(K57=0,"",IF(K56&gt;'Exit Strategies'!$D$5,"",AVERAGE(C59:K59)))</f>
        <v>0.16235201205309038</v>
      </c>
      <c r="L60" s="807">
        <f ca="1">IF(L57=0,"",IF(L56&gt;'Exit Strategies'!$D$5,"",AVERAGE(C59:L59)))</f>
        <v>0.16616379200089651</v>
      </c>
      <c r="M60" s="814"/>
      <c r="N60" s="815"/>
      <c r="P60" s="396"/>
      <c r="T60" s="748">
        <f>About!B38</f>
        <v>0</v>
      </c>
      <c r="U60" s="751">
        <f>About!C38</f>
        <v>0</v>
      </c>
    </row>
    <row r="61" spans="2:21" x14ac:dyDescent="0.2">
      <c r="B61" s="420" t="s">
        <v>187</v>
      </c>
      <c r="C61" s="403" t="str">
        <f>IF(C56&gt;'Exit Strategies'!$D$5,"",IF(SUM(C10,C26,C27)=0,"",SUM(C10,C26,C27)))</f>
        <v/>
      </c>
      <c r="D61" s="403" t="str">
        <f>IF(D56&gt;'Exit Strategies'!$D$5,"",IF(SUM(D10,D26,D27)=0,"",SUM(D10,D26,D27)))</f>
        <v/>
      </c>
      <c r="E61" s="403" t="str">
        <f>IF(E56&gt;'Exit Strategies'!$D$5,"",IF(SUM(E10,E26,E27)=0,"",SUM(E10,E26,E27)))</f>
        <v/>
      </c>
      <c r="F61" s="403" t="str">
        <f>IF(F56&gt;'Exit Strategies'!$D$5,"",IF(SUM(F10,F26,F27)=0,"",SUM(F10,F26,F27)))</f>
        <v/>
      </c>
      <c r="G61" s="403" t="str">
        <f>IF(G56&gt;'Exit Strategies'!$D$5,"",IF(SUM(G10,G26,G27)=0,"",SUM(G10,G26,G27)))</f>
        <v/>
      </c>
      <c r="H61" s="403" t="str">
        <f>IF(H56&gt;'Exit Strategies'!$D$5,"",IF(SUM(H10,H26,H27)=0,"",SUM(H10,H26,H27)))</f>
        <v/>
      </c>
      <c r="I61" s="403" t="str">
        <f>IF(I56&gt;'Exit Strategies'!$D$5,"",IF(SUM(I10,I26,I27)=0,"",SUM(I10,I26,I27)))</f>
        <v/>
      </c>
      <c r="J61" s="403" t="str">
        <f>IF(J56&gt;'Exit Strategies'!$D$5,"",IF(SUM(J10,J26,J27)=0,"",SUM(J10,J26,J27)))</f>
        <v/>
      </c>
      <c r="K61" s="403" t="str">
        <f>IF(K56&gt;'Exit Strategies'!$D$5,"",IF(SUM(K10,K26,K27)=0,"",SUM(K10,K26,K27)))</f>
        <v/>
      </c>
      <c r="L61" s="403">
        <f ca="1">IF(L56&gt;'Exit Strategies'!$D$5,"",IF(SUM(L10,L26,L27)=0,"",SUM(L10,L26,L27)))</f>
        <v>4840570.9214574136</v>
      </c>
      <c r="M61" s="403">
        <f ca="1">SUM(C61:L61)</f>
        <v>4840570.9214574136</v>
      </c>
      <c r="N61" s="406"/>
      <c r="P61" s="397"/>
    </row>
    <row r="62" spans="2:21" x14ac:dyDescent="0.2">
      <c r="B62" s="826" t="s">
        <v>186</v>
      </c>
      <c r="C62" s="807">
        <f ca="1">IF(C57=0,"",IF(C56&gt;'Exit Strategies'!$D$5,"",(SUM(C58)+SUM(C61))/C57/C56))</f>
        <v>0.20389945527771972</v>
      </c>
      <c r="D62" s="807">
        <f ca="1">IF(D57=0,"",IF(D56&gt;'Exit Strategies'!$D$5,"",(SUM(C58:D58)+SUM(C61:D61))/D57/D56))</f>
        <v>0.20889866642904178</v>
      </c>
      <c r="E62" s="807">
        <f ca="1">IF(E57=0,"",IF(E56&gt;'Exit Strategies'!$D$5,"",(SUM(C58:E58)+SUM(C61:E61))/E57/E56))</f>
        <v>0.20088182183414696</v>
      </c>
      <c r="F62" s="807">
        <f ca="1">IF(F57=0,"",IF(F56&gt;'Exit Strategies'!$D$5,"",(SUM(C58:F58)+SUM(C61:F61))/F57/F56))</f>
        <v>0.1842739144229173</v>
      </c>
      <c r="G62" s="807">
        <f ca="1">IF(G57=0,"",IF(G56&gt;'Exit Strategies'!$D$5,"",(SUM(C58:G58)+SUM(C61:G61))/G57/G56))</f>
        <v>0.16939061101668101</v>
      </c>
      <c r="H62" s="807">
        <f ca="1">IF(H57=0,"",IF(H56&gt;'Exit Strategies'!$D$5,"",(SUM(C58:H58)+SUM(C61:H61))/H57/H56))</f>
        <v>0.16227768467997503</v>
      </c>
      <c r="I62" s="807">
        <f ca="1">IF(I57=0,"",IF(I56&gt;'Exit Strategies'!$D$5,"",(SUM(C58:I58)+SUM(C61:I61))/I57/I56))</f>
        <v>0.15969248344974171</v>
      </c>
      <c r="J62" s="807">
        <f ca="1">IF(J57=0,"",IF(J56&gt;'Exit Strategies'!$D$5,"",(SUM(C58:J58)+SUM(C61:J61))/J57/J56))</f>
        <v>0.16001624571695156</v>
      </c>
      <c r="K62" s="807">
        <f ca="1">IF(K57=0,"",IF(K56&gt;'Exit Strategies'!$D$5,"",(SUM(C58:K58)+SUM(C61:K61))/K57/K56))</f>
        <v>0.16235201205309036</v>
      </c>
      <c r="L62" s="807">
        <f ca="1">IF(L57=0,"",IF(L56&gt;'Exit Strategies'!$D$5,"",(SUM(C58:L58)+SUM(C61:L61))/L57/L56))</f>
        <v>0.29708872263559394</v>
      </c>
      <c r="M62" s="818"/>
      <c r="N62" s="815"/>
      <c r="P62" s="397"/>
    </row>
    <row r="63" spans="2:21" x14ac:dyDescent="0.2">
      <c r="B63" s="420" t="s">
        <v>61</v>
      </c>
      <c r="C63" s="403" t="str">
        <f>C12</f>
        <v/>
      </c>
      <c r="D63" s="403" t="str">
        <f t="shared" ref="D63:L63" si="31">D12</f>
        <v/>
      </c>
      <c r="E63" s="403" t="str">
        <f t="shared" si="31"/>
        <v/>
      </c>
      <c r="F63" s="403" t="str">
        <f t="shared" si="31"/>
        <v/>
      </c>
      <c r="G63" s="403" t="str">
        <f t="shared" si="31"/>
        <v/>
      </c>
      <c r="H63" s="403" t="str">
        <f t="shared" si="31"/>
        <v/>
      </c>
      <c r="I63" s="403" t="str">
        <f t="shared" si="31"/>
        <v/>
      </c>
      <c r="J63" s="403" t="str">
        <f t="shared" si="31"/>
        <v/>
      </c>
      <c r="K63" s="403" t="str">
        <f t="shared" si="31"/>
        <v/>
      </c>
      <c r="L63" s="403">
        <f t="shared" si="31"/>
        <v>3697210.9879999999</v>
      </c>
      <c r="M63" s="399"/>
      <c r="N63" s="406"/>
      <c r="P63" s="397"/>
    </row>
    <row r="64" spans="2:21" ht="12.75" thickBot="1" x14ac:dyDescent="0.25">
      <c r="B64" s="827" t="s">
        <v>197</v>
      </c>
      <c r="C64" s="823">
        <f>C13</f>
        <v>3697210.9879999999</v>
      </c>
      <c r="D64" s="823">
        <f t="shared" ref="D64:L64" si="32">D13</f>
        <v>3697210.9879999999</v>
      </c>
      <c r="E64" s="823">
        <f t="shared" si="32"/>
        <v>3697210.9879999999</v>
      </c>
      <c r="F64" s="823">
        <f t="shared" si="32"/>
        <v>3697210.9879999999</v>
      </c>
      <c r="G64" s="823">
        <f t="shared" si="32"/>
        <v>3697210.9879999999</v>
      </c>
      <c r="H64" s="823">
        <f t="shared" si="32"/>
        <v>3697210.9879999999</v>
      </c>
      <c r="I64" s="823">
        <f t="shared" si="32"/>
        <v>3697210.9879999999</v>
      </c>
      <c r="J64" s="823">
        <f t="shared" si="32"/>
        <v>3697210.9879999999</v>
      </c>
      <c r="K64" s="823">
        <f t="shared" si="32"/>
        <v>3697210.9879999999</v>
      </c>
      <c r="L64" s="823">
        <f t="shared" si="32"/>
        <v>0</v>
      </c>
      <c r="M64" s="824"/>
      <c r="N64" s="825"/>
      <c r="P64" s="397"/>
    </row>
    <row r="65" spans="1:31" ht="12.75" thickBot="1" x14ac:dyDescent="0.25">
      <c r="B65" s="819" t="s">
        <v>351</v>
      </c>
      <c r="C65" s="820">
        <f ca="1">IF(C56&gt;'Exit Strategies'!$D$5,"",C58+IF(C61="",0,C61))</f>
        <v>753859.30649999995</v>
      </c>
      <c r="D65" s="820">
        <f ca="1">IF(D56&gt;'Exit Strategies'!$D$5,"",D58+IF(D61="",0,D61))</f>
        <v>790825.58330000006</v>
      </c>
      <c r="E65" s="820">
        <f ca="1">IF(E56&gt;'Exit Strategies'!$D$5,"",E58+IF(E61="",0,E61))</f>
        <v>683422.54712399957</v>
      </c>
      <c r="F65" s="820">
        <f ca="1">IF(F56&gt;'Exit Strategies'!$D$5,"",F58+IF(F61="",0,F61))</f>
        <v>497090.72790072649</v>
      </c>
      <c r="G65" s="820">
        <f ca="1">IF(G56&gt;'Exit Strategies'!$D$5,"",G58+IF(G61="",0,G61))</f>
        <v>406165.97674980829</v>
      </c>
      <c r="H65" s="820">
        <f ca="1">IF(H56&gt;'Exit Strategies'!$D$5,"",H58+IF(H61="",0,H61))</f>
        <v>468484.89186148311</v>
      </c>
      <c r="I65" s="820">
        <f ca="1">IF(I56&gt;'Exit Strategies'!$D$5,"",I58+IF(I61="",0,I61))</f>
        <v>533068.59814373462</v>
      </c>
      <c r="J65" s="820">
        <f ca="1">IF(J56&gt;'Exit Strategies'!$D$5,"",J58+IF(J61="",0,J61))</f>
        <v>599992.94380601798</v>
      </c>
      <c r="K65" s="820">
        <f ca="1">IF(K56&gt;'Exit Strategies'!$D$5,"",K58+IF(K61="",0,K61))</f>
        <v>669336.21059357678</v>
      </c>
      <c r="L65" s="820">
        <f ca="1">IF(L56&gt;'Exit Strategies'!$D$5,"",L58+IF(L61="",0,L61))</f>
        <v>5581750.1114126761</v>
      </c>
      <c r="M65" s="821">
        <f ca="1">SUM(C65:L65)</f>
        <v>10983996.897392023</v>
      </c>
      <c r="N65" s="654">
        <f ca="1">IF(C57=0,0,M65/C57)</f>
        <v>2.9708872263559396</v>
      </c>
    </row>
    <row r="66" spans="1:31" ht="12.75" thickBot="1" x14ac:dyDescent="0.25">
      <c r="B66" s="236" t="str">
        <f>B15</f>
        <v>Average Annual Return</v>
      </c>
      <c r="C66" s="234"/>
      <c r="D66" s="234"/>
      <c r="E66" s="234"/>
      <c r="F66" s="234"/>
      <c r="G66" s="234"/>
      <c r="H66" s="234"/>
      <c r="I66" s="234"/>
      <c r="J66" s="234"/>
      <c r="K66" s="234"/>
      <c r="L66" s="234"/>
      <c r="M66" s="234"/>
      <c r="N66" s="850">
        <f ca="1">IF(C57=0,0,IF('Exit Strategies'!$D$4="NA",OFFSET(C62,0,'Exit Strategies'!$D$5-1),N67))</f>
        <v>0.29708872263559394</v>
      </c>
    </row>
    <row r="67" spans="1:31" s="91" customFormat="1" ht="12.75" thickBot="1" x14ac:dyDescent="0.25">
      <c r="A67" s="71"/>
      <c r="B67" s="236" t="s">
        <v>9</v>
      </c>
      <c r="C67" s="234"/>
      <c r="D67" s="234"/>
      <c r="E67" s="234"/>
      <c r="F67" s="234"/>
      <c r="G67" s="234"/>
      <c r="H67" s="234"/>
      <c r="I67" s="234"/>
      <c r="J67" s="234"/>
      <c r="K67" s="234"/>
      <c r="L67" s="234"/>
      <c r="M67" s="234"/>
      <c r="N67" s="235">
        <f ca="1">IRR!F35</f>
        <v>0.21895418572350067</v>
      </c>
      <c r="O67" s="71"/>
      <c r="P67" s="71"/>
      <c r="Q67" s="71"/>
      <c r="R67" s="71"/>
      <c r="S67" s="71"/>
      <c r="T67" s="71"/>
    </row>
    <row r="68" spans="1:31" s="91" customFormat="1" ht="12.75" thickBot="1" x14ac:dyDescent="0.25">
      <c r="A68" s="71"/>
      <c r="B68" s="236" t="str">
        <f>B17</f>
        <v>Average Cash on Cash Return</v>
      </c>
      <c r="C68" s="724"/>
      <c r="D68" s="234"/>
      <c r="E68" s="234"/>
      <c r="F68" s="234"/>
      <c r="G68" s="234"/>
      <c r="H68" s="234"/>
      <c r="I68" s="234"/>
      <c r="J68" s="234"/>
      <c r="K68" s="234"/>
      <c r="L68" s="234"/>
      <c r="M68" s="234"/>
      <c r="N68" s="850">
        <f ca="1">IF(C57=0,0,IF('Exit Strategies'!$D$4="NA",OFFSET(C60,0,'Exit Strategies'!$D$5-1),IF('Exit Strategies'!$D$29&gt;0,OFFSET(C60,0,'Exit Strategies'!$D$5-1), OFFSET(C60,0,'Exit Strategies'!$D$4-1))))</f>
        <v>0.16616379200089651</v>
      </c>
      <c r="O68" s="736"/>
      <c r="P68" s="71"/>
      <c r="Q68" s="71"/>
      <c r="R68" s="71"/>
      <c r="S68" s="71"/>
      <c r="T68" s="71"/>
      <c r="U68" s="71"/>
      <c r="V68" s="71"/>
      <c r="W68" s="71"/>
      <c r="X68" s="71"/>
      <c r="Y68" s="71"/>
      <c r="Z68" s="748">
        <f>About!B65</f>
        <v>0</v>
      </c>
      <c r="AA68" s="751">
        <f>About!C65</f>
        <v>0</v>
      </c>
      <c r="AB68" s="71"/>
      <c r="AC68" s="71"/>
      <c r="AD68" s="71"/>
      <c r="AE68" s="71"/>
    </row>
    <row r="70" spans="1:31" x14ac:dyDescent="0.2">
      <c r="B70" s="394" t="s">
        <v>239</v>
      </c>
      <c r="C70" s="573">
        <v>100000</v>
      </c>
      <c r="D70" s="204"/>
      <c r="E70" s="204"/>
    </row>
    <row r="71" spans="1:31" ht="12.75" thickBot="1" x14ac:dyDescent="0.25">
      <c r="B71" s="394"/>
      <c r="C71" s="395" t="str">
        <f>IF(C72='Exit Strategies'!$D$4,"REFINANCE!",IF(C72='Exit Strategies'!$D$5,"SALE!",""))</f>
        <v/>
      </c>
      <c r="D71" s="395" t="str">
        <f>IF(D72='Exit Strategies'!$D$4,"REFINANCE!",IF(D72='Exit Strategies'!$D$5,"SALE!",""))</f>
        <v/>
      </c>
      <c r="E71" s="395" t="str">
        <f>IF(E72='Exit Strategies'!$D$4,"REFINANCE!",IF(E72='Exit Strategies'!$D$5,"SALE!",""))</f>
        <v/>
      </c>
      <c r="F71" s="395" t="str">
        <f>IF(F72='Exit Strategies'!$D$4,"REFINANCE!",IF(F72='Exit Strategies'!$D$5,"SALE!",""))</f>
        <v/>
      </c>
      <c r="G71" s="395" t="str">
        <f>IF(G72='Exit Strategies'!$D$4,"REFINANCE!",IF(G72='Exit Strategies'!$D$5,"SALE!",""))</f>
        <v/>
      </c>
      <c r="H71" s="395" t="str">
        <f>IF(H72='Exit Strategies'!$D$4,"REFINANCE!",IF(H72='Exit Strategies'!$D$5,"SALE!",""))</f>
        <v/>
      </c>
      <c r="I71" s="395" t="str">
        <f>IF(I72='Exit Strategies'!$D$4,"REFINANCE!",IF(I72='Exit Strategies'!$D$5,"SALE!",""))</f>
        <v/>
      </c>
      <c r="J71" s="395" t="str">
        <f>IF(J72='Exit Strategies'!$D$4,"REFINANCE!",IF(J72='Exit Strategies'!$D$5,"SALE!",""))</f>
        <v/>
      </c>
      <c r="K71" s="395" t="str">
        <f>IF(K72='Exit Strategies'!$D$4,"REFINANCE!",IF(K72='Exit Strategies'!$D$5,"SALE!",""))</f>
        <v/>
      </c>
      <c r="L71" s="395" t="str">
        <f>IF(L72='Exit Strategies'!$D$4,"REFINANCE!",IF(L72='Exit Strategies'!$D$5,"SALE!",""))</f>
        <v>SALE!</v>
      </c>
    </row>
    <row r="72" spans="1:31" ht="12.75" thickBot="1" x14ac:dyDescent="0.25">
      <c r="B72" s="407"/>
      <c r="C72" s="411">
        <v>1</v>
      </c>
      <c r="D72" s="411">
        <f>C72+1</f>
        <v>2</v>
      </c>
      <c r="E72" s="411">
        <f t="shared" ref="E72:L72" si="33">D72+1</f>
        <v>3</v>
      </c>
      <c r="F72" s="411">
        <f t="shared" si="33"/>
        <v>4</v>
      </c>
      <c r="G72" s="411">
        <f t="shared" si="33"/>
        <v>5</v>
      </c>
      <c r="H72" s="411">
        <f t="shared" si="33"/>
        <v>6</v>
      </c>
      <c r="I72" s="411">
        <f t="shared" si="33"/>
        <v>7</v>
      </c>
      <c r="J72" s="411">
        <f t="shared" si="33"/>
        <v>8</v>
      </c>
      <c r="K72" s="411">
        <f t="shared" si="33"/>
        <v>9</v>
      </c>
      <c r="L72" s="411">
        <f t="shared" si="33"/>
        <v>10</v>
      </c>
      <c r="M72" s="411" t="s">
        <v>79</v>
      </c>
      <c r="N72" s="412" t="s">
        <v>78</v>
      </c>
    </row>
    <row r="73" spans="1:31" x14ac:dyDescent="0.2">
      <c r="B73" s="420" t="s">
        <v>196</v>
      </c>
      <c r="C73" s="574">
        <f>IF(C72&gt;'Exit Strategies'!$H$7,"",C70)</f>
        <v>100000</v>
      </c>
      <c r="D73" s="574">
        <f>IF(D72&gt;'Exit Strategies'!$H$7,"",C81)</f>
        <v>100000</v>
      </c>
      <c r="E73" s="574">
        <f>IF(E72&gt;'Exit Strategies'!$H$7,"",D81)</f>
        <v>100000</v>
      </c>
      <c r="F73" s="574">
        <f>IF(F72&gt;'Exit Strategies'!$H$7,"",E81)</f>
        <v>100000</v>
      </c>
      <c r="G73" s="574">
        <f>IF(G72&gt;'Exit Strategies'!$H$7,"",F81)</f>
        <v>100000</v>
      </c>
      <c r="H73" s="574">
        <f>IF(H72&gt;'Exit Strategies'!$H$7,"",G81)</f>
        <v>100000</v>
      </c>
      <c r="I73" s="574">
        <f>IF(I72&gt;'Exit Strategies'!$H$7,"",H81)</f>
        <v>100000</v>
      </c>
      <c r="J73" s="574">
        <f>IF(J72&gt;'Exit Strategies'!$H$7,"",I81)</f>
        <v>100000</v>
      </c>
      <c r="K73" s="574">
        <f>IF(K72&gt;'Exit Strategies'!$H$7,"",J81)</f>
        <v>100000</v>
      </c>
      <c r="L73" s="574">
        <f>IF(L72&gt;'Exit Strategies'!$H$7,"",K81)</f>
        <v>100000</v>
      </c>
      <c r="M73" s="574"/>
      <c r="N73" s="575"/>
    </row>
    <row r="74" spans="1:31" x14ac:dyDescent="0.2">
      <c r="B74" s="811" t="s">
        <v>237</v>
      </c>
      <c r="C74" s="813">
        <f t="shared" ref="C74:L74" si="34">IF(C73="","",IF(C6=0,0,C73/C6))</f>
        <v>2.7047415017581896E-2</v>
      </c>
      <c r="D74" s="813">
        <f t="shared" si="34"/>
        <v>2.7047415017581896E-2</v>
      </c>
      <c r="E74" s="813">
        <f t="shared" si="34"/>
        <v>2.7047415017581896E-2</v>
      </c>
      <c r="F74" s="813">
        <f t="shared" si="34"/>
        <v>2.7047415017581896E-2</v>
      </c>
      <c r="G74" s="813">
        <f t="shared" si="34"/>
        <v>2.7047415017581896E-2</v>
      </c>
      <c r="H74" s="813">
        <f t="shared" si="34"/>
        <v>2.7047415017581896E-2</v>
      </c>
      <c r="I74" s="813">
        <f t="shared" si="34"/>
        <v>2.7047415017581896E-2</v>
      </c>
      <c r="J74" s="813">
        <f t="shared" si="34"/>
        <v>2.7047415017581896E-2</v>
      </c>
      <c r="K74" s="813">
        <f t="shared" si="34"/>
        <v>2.7047415017581896E-2</v>
      </c>
      <c r="L74" s="813">
        <f t="shared" si="34"/>
        <v>2.7047415017581896E-2</v>
      </c>
      <c r="M74" s="814"/>
      <c r="N74" s="815"/>
      <c r="P74" s="396"/>
    </row>
    <row r="75" spans="1:31" x14ac:dyDescent="0.2">
      <c r="B75" s="420" t="s">
        <v>75</v>
      </c>
      <c r="C75" s="404">
        <f t="shared" ref="C75:L75" ca="1" si="35">IF(C73="","",IF(C7="",0,$C$74*C7))</f>
        <v>16884.402079949676</v>
      </c>
      <c r="D75" s="404">
        <f t="shared" ca="1" si="35"/>
        <v>17661.4978914479</v>
      </c>
      <c r="E75" s="404">
        <f t="shared" ca="1" si="35"/>
        <v>15306.008327117946</v>
      </c>
      <c r="F75" s="404">
        <f t="shared" ca="1" si="35"/>
        <v>11241.717822174696</v>
      </c>
      <c r="G75" s="404">
        <f t="shared" ca="1" si="35"/>
        <v>9240.865311786396</v>
      </c>
      <c r="H75" s="404">
        <f t="shared" ca="1" si="35"/>
        <v>10554.885965776562</v>
      </c>
      <c r="I75" s="404">
        <f t="shared" ca="1" si="35"/>
        <v>11916.879063310125</v>
      </c>
      <c r="J75" s="404">
        <f t="shared" ca="1" si="35"/>
        <v>13328.454814171717</v>
      </c>
      <c r="K75" s="404">
        <f t="shared" ca="1" si="35"/>
        <v>14791.275155169464</v>
      </c>
      <c r="L75" s="404">
        <f t="shared" ca="1" si="35"/>
        <v>16307.055370359338</v>
      </c>
      <c r="M75" s="403">
        <f ca="1">SUM(C75:L75)</f>
        <v>137233.04180126384</v>
      </c>
      <c r="N75" s="405"/>
    </row>
    <row r="76" spans="1:31" x14ac:dyDescent="0.2">
      <c r="B76" s="811" t="s">
        <v>76</v>
      </c>
      <c r="C76" s="847">
        <f t="shared" ref="C76:L76" ca="1" si="36">C8</f>
        <v>0.16884402079949676</v>
      </c>
      <c r="D76" s="847">
        <f t="shared" ca="1" si="36"/>
        <v>0.176614978914479</v>
      </c>
      <c r="E76" s="847">
        <f t="shared" ca="1" si="36"/>
        <v>0.15306008327117945</v>
      </c>
      <c r="F76" s="847">
        <f t="shared" ca="1" si="36"/>
        <v>0.11241717822174697</v>
      </c>
      <c r="G76" s="847">
        <f t="shared" ca="1" si="36"/>
        <v>9.2408653117863962E-2</v>
      </c>
      <c r="H76" s="847">
        <f t="shared" ca="1" si="36"/>
        <v>0.10554885965776563</v>
      </c>
      <c r="I76" s="847">
        <f t="shared" ca="1" si="36"/>
        <v>0.11916879063310126</v>
      </c>
      <c r="J76" s="847">
        <f t="shared" ca="1" si="36"/>
        <v>0.13328454814171717</v>
      </c>
      <c r="K76" s="847">
        <f t="shared" ca="1" si="36"/>
        <v>0.14791275155169464</v>
      </c>
      <c r="L76" s="847">
        <f t="shared" ca="1" si="36"/>
        <v>0.16307055370359338</v>
      </c>
      <c r="M76" s="814"/>
      <c r="N76" s="815"/>
      <c r="P76" s="396"/>
    </row>
    <row r="77" spans="1:31" x14ac:dyDescent="0.2">
      <c r="B77" s="817" t="s">
        <v>322</v>
      </c>
      <c r="C77" s="846">
        <f ca="1">IF(C73=0,"",IF(C72&gt;'Exit Strategies'!$D$5,"",AVERAGE(C76)))</f>
        <v>0.16884402079949676</v>
      </c>
      <c r="D77" s="846">
        <f ca="1">IF(D73=0,"",IF(D72&gt;'Exit Strategies'!$D$5,"",AVERAGE(C76:D76)))</f>
        <v>0.17272949985698788</v>
      </c>
      <c r="E77" s="846">
        <f ca="1">IF(E73=0,"",IF(E72&gt;'Exit Strategies'!$D$5,"",AVERAGE(C76:E76)))</f>
        <v>0.1661730276617184</v>
      </c>
      <c r="F77" s="846">
        <f ca="1">IF(F73=0,"",IF(F72&gt;'Exit Strategies'!$D$5,"",AVERAGE(C76:F76)))</f>
        <v>0.15273406530172556</v>
      </c>
      <c r="G77" s="846">
        <f ca="1">IF(G73=0,"",IF(G72&gt;'Exit Strategies'!$D$5,"",AVERAGE(C76:G76)))</f>
        <v>0.14066898286495325</v>
      </c>
      <c r="H77" s="846">
        <f ca="1">IF(H73=0,"",IF(H72&gt;'Exit Strategies'!$D$5,"",AVERAGE(C76:H76)))</f>
        <v>0.13481562899708863</v>
      </c>
      <c r="I77" s="846">
        <f ca="1">IF(I73=0,"",IF(I72&gt;'Exit Strategies'!$D$5,"",AVERAGE(C76:I76)))</f>
        <v>0.13258036637366186</v>
      </c>
      <c r="J77" s="846">
        <f ca="1">IF(J73=0,"",IF(J72&gt;'Exit Strategies'!$D$5,"",AVERAGE(C76:J76)))</f>
        <v>0.13266838909466877</v>
      </c>
      <c r="K77" s="846">
        <f ca="1">IF(K73=0,"",IF(K72&gt;'Exit Strategies'!$D$5,"",AVERAGE(C76:K76)))</f>
        <v>0.13436220714544944</v>
      </c>
      <c r="L77" s="846">
        <f ca="1">IF(L73=0,"",IF(L72&gt;'Exit Strategies'!$D$5,"",AVERAGE(C76:L76)))</f>
        <v>0.13723304180126383</v>
      </c>
      <c r="M77" s="400"/>
      <c r="N77" s="406"/>
      <c r="P77" s="396"/>
      <c r="T77" s="748">
        <f>About!B53</f>
        <v>0</v>
      </c>
      <c r="U77" s="751">
        <f>About!C53</f>
        <v>0</v>
      </c>
    </row>
    <row r="78" spans="1:31" x14ac:dyDescent="0.2">
      <c r="B78" s="811" t="s">
        <v>187</v>
      </c>
      <c r="C78" s="809" t="str">
        <f>IF(C72='Exit Strategies'!$D$4,'Exit Strategies'!$D$26*C74,IF(C72='Exit Strategies'!$H$7,'Exit Strategies'!$H$20*C74,""))</f>
        <v/>
      </c>
      <c r="D78" s="809" t="str">
        <f>IF(D72='Exit Strategies'!$D$4,'Exit Strategies'!$D$26*D74,IF(D72='Exit Strategies'!$H$7,'Exit Strategies'!$H$20*D74,""))</f>
        <v/>
      </c>
      <c r="E78" s="809" t="str">
        <f>IF(E72='Exit Strategies'!$D$4,'Exit Strategies'!$D$26*E74,IF(E72='Exit Strategies'!$H$7,'Exit Strategies'!$H$20*E74,""))</f>
        <v/>
      </c>
      <c r="F78" s="809" t="str">
        <f>IF(F72='Exit Strategies'!$D$4,'Exit Strategies'!$D$26*F74,IF(F72='Exit Strategies'!$H$7,'Exit Strategies'!$H$20*F74,""))</f>
        <v/>
      </c>
      <c r="G78" s="809" t="str">
        <f>IF(G72='Exit Strategies'!$D$4,'Exit Strategies'!$D$26*G74,IF(G72='Exit Strategies'!$H$7,'Exit Strategies'!$H$20*G74,""))</f>
        <v/>
      </c>
      <c r="H78" s="809" t="str">
        <f>IF(H72='Exit Strategies'!$D$4,'Exit Strategies'!$D$26*H74,IF(H72='Exit Strategies'!$H$7,'Exit Strategies'!$H$20*H74,""))</f>
        <v/>
      </c>
      <c r="I78" s="809" t="str">
        <f>IF(I72='Exit Strategies'!$D$4,'Exit Strategies'!$D$26*I74,IF(I72='Exit Strategies'!$H$7,'Exit Strategies'!$H$20*I74,""))</f>
        <v/>
      </c>
      <c r="J78" s="809" t="str">
        <f>IF(J72='Exit Strategies'!$D$4,'Exit Strategies'!$D$26*J74,IF(J72='Exit Strategies'!$H$7,'Exit Strategies'!$H$20*J74,""))</f>
        <v/>
      </c>
      <c r="K78" s="809" t="str">
        <f>IF(K72='Exit Strategies'!$D$4,'Exit Strategies'!$D$26*K74,IF(K72='Exit Strategies'!$H$7,'Exit Strategies'!$H$20*K74,""))</f>
        <v/>
      </c>
      <c r="L78" s="809">
        <f ca="1">IF(L72='Exit Strategies'!$D$4,'Exit Strategies'!$D$26*L74,IF(L72='Exit Strategies'!$H$7,'Exit Strategies'!$H$20*L74,""))</f>
        <v>95218.13137068908</v>
      </c>
      <c r="M78" s="809">
        <f ca="1">SUM(C78:L78)</f>
        <v>95218.13137068908</v>
      </c>
      <c r="N78" s="815"/>
      <c r="P78" s="397"/>
    </row>
    <row r="79" spans="1:31" x14ac:dyDescent="0.2">
      <c r="B79" s="817" t="s">
        <v>186</v>
      </c>
      <c r="C79" s="846">
        <f ca="1">IF(C73=0,"",IF(C72&gt;'Exit Strategies'!$D$5,"",(SUM(C75)+SUM(C78))/C73/C72))</f>
        <v>0.16884402079949676</v>
      </c>
      <c r="D79" s="846">
        <f ca="1">IF(D73=0,"",IF(D72&gt;'Exit Strategies'!$D$5,"",(SUM(C75:D75)+SUM(C78:D78))/D73/D72))</f>
        <v>0.17272949985698791</v>
      </c>
      <c r="E79" s="846">
        <f ca="1">IF(E73=0,"",IF(E72&gt;'Exit Strategies'!$D$5,"",(SUM(C75:E75)+SUM(C78:E78))/E73/E72))</f>
        <v>0.1661730276617184</v>
      </c>
      <c r="F79" s="846">
        <f ca="1">IF(F73=0,"",IF(F72&gt;'Exit Strategies'!$D$5,"",(SUM(C75:F75)+SUM(C78:F78))/F73/F72))</f>
        <v>0.15273406530172556</v>
      </c>
      <c r="G79" s="846">
        <f ca="1">IF(G73=0,"",IF(G72&gt;'Exit Strategies'!$D$5,"",(SUM(C75:G75)+SUM(C78:G78))/G73/G72))</f>
        <v>0.14066898286495322</v>
      </c>
      <c r="H79" s="846">
        <f ca="1">IF(H73=0,"",IF(H72&gt;'Exit Strategies'!$D$5,"",(SUM(C75:H75)+SUM(C78:H78))/H73/H72))</f>
        <v>0.13481562899708863</v>
      </c>
      <c r="I79" s="846">
        <f ca="1">IF(I73=0,"",IF(I72&gt;'Exit Strategies'!$D$5,"",(SUM(C75:I75)+SUM(C78:I78))/I73/I72))</f>
        <v>0.13258036637366186</v>
      </c>
      <c r="J79" s="846">
        <f ca="1">IF(J73=0,"",IF(J72&gt;'Exit Strategies'!$D$5,"",(SUM(C75:J75)+SUM(C78:J78))/J73/J72))</f>
        <v>0.13266838909466877</v>
      </c>
      <c r="K79" s="846">
        <f ca="1">IF(K73=0,"",IF(K72&gt;'Exit Strategies'!$D$5,"",(SUM(C75:K75)+SUM(C78:K78))/K73/K72))</f>
        <v>0.13436220714544944</v>
      </c>
      <c r="L79" s="846">
        <f ca="1">IF(L73=0,"",IF(L72&gt;'Exit Strategies'!$D$5,"",(SUM(C75:L75)+SUM(C78:L78))/L73/L72))</f>
        <v>0.23245117317195291</v>
      </c>
      <c r="M79" s="401"/>
      <c r="N79" s="406"/>
      <c r="P79" s="397"/>
    </row>
    <row r="80" spans="1:31" x14ac:dyDescent="0.2">
      <c r="B80" s="811" t="s">
        <v>61</v>
      </c>
      <c r="C80" s="809" t="str">
        <f>IF(C72='Exit Strategies'!$D$4,'Exit Strategies'!$D$19*C74,IF(C72='Exit Strategies'!$H$7,'Exit Strategies'!$H$15*C74,""))</f>
        <v/>
      </c>
      <c r="D80" s="809" t="str">
        <f>IF(D72='Exit Strategies'!$D$4,'Exit Strategies'!$D$19*D74,IF(D72='Exit Strategies'!$H$7,'Exit Strategies'!$H$15*D74,""))</f>
        <v/>
      </c>
      <c r="E80" s="809" t="str">
        <f>IF(E72='Exit Strategies'!$D$4,'Exit Strategies'!$D$19*E74,IF(E72='Exit Strategies'!$H$7,'Exit Strategies'!$H$15*E74,""))</f>
        <v/>
      </c>
      <c r="F80" s="809" t="str">
        <f>IF(F72='Exit Strategies'!$D$4,'Exit Strategies'!$D$19*F74,IF(F72='Exit Strategies'!$H$7,'Exit Strategies'!$H$15*F74,""))</f>
        <v/>
      </c>
      <c r="G80" s="809" t="str">
        <f>IF(G72='Exit Strategies'!$D$4,'Exit Strategies'!$D$19*G74,IF(G72='Exit Strategies'!$H$7,'Exit Strategies'!$H$15*G74,""))</f>
        <v/>
      </c>
      <c r="H80" s="809" t="str">
        <f>IF(H72='Exit Strategies'!$D$4,'Exit Strategies'!$D$19*H74,IF(H72='Exit Strategies'!$H$7,'Exit Strategies'!$H$15*H74,""))</f>
        <v/>
      </c>
      <c r="I80" s="809" t="str">
        <f>IF(I72='Exit Strategies'!$D$4,'Exit Strategies'!$D$19*I74,IF(I72='Exit Strategies'!$H$7,'Exit Strategies'!$H$15*I74,""))</f>
        <v/>
      </c>
      <c r="J80" s="809" t="str">
        <f>IF(J72='Exit Strategies'!$D$4,'Exit Strategies'!$D$19*J74,IF(J72='Exit Strategies'!$H$7,'Exit Strategies'!$H$15*J74,""))</f>
        <v/>
      </c>
      <c r="K80" s="809" t="str">
        <f>IF(K72='Exit Strategies'!$D$4,'Exit Strategies'!$D$19*K74,IF(K72='Exit Strategies'!$H$7,'Exit Strategies'!$H$15*K74,""))</f>
        <v/>
      </c>
      <c r="L80" s="809">
        <f>IF(L72='Exit Strategies'!$D$4,'Exit Strategies'!$D$19*L74,IF(L72='Exit Strategies'!$H$7,'Exit Strategies'!$H$15*L74,""))</f>
        <v>100000</v>
      </c>
      <c r="M80" s="816"/>
      <c r="N80" s="815"/>
      <c r="P80" s="397"/>
    </row>
    <row r="81" spans="1:31" ht="12.75" thickBot="1" x14ac:dyDescent="0.25">
      <c r="B81" s="591" t="s">
        <v>197</v>
      </c>
      <c r="C81" s="577">
        <f>IF(C72='Exit Strategies'!$D$4,'Exit Strategies'!$D$29*C74,IF(C72='Exit Strategies'!$H$7,0,C73))</f>
        <v>100000</v>
      </c>
      <c r="D81" s="577">
        <f>IF(D72='Exit Strategies'!$D$4,'Exit Strategies'!$D$29*D74,IF(D72='Exit Strategies'!$H$7,0,D73))</f>
        <v>100000</v>
      </c>
      <c r="E81" s="577">
        <f>IF(E72='Exit Strategies'!$D$4,'Exit Strategies'!$D$29*E74,IF(E72='Exit Strategies'!$H$7,0,E73))</f>
        <v>100000</v>
      </c>
      <c r="F81" s="577">
        <f>IF(F72='Exit Strategies'!$D$4,'Exit Strategies'!$D$29*F74,IF(F72='Exit Strategies'!$H$7,0,F73))</f>
        <v>100000</v>
      </c>
      <c r="G81" s="577">
        <f>IF(G72='Exit Strategies'!$D$4,'Exit Strategies'!$D$29*G74,IF(G72='Exit Strategies'!$H$7,0,G73))</f>
        <v>100000</v>
      </c>
      <c r="H81" s="577">
        <f>IF(H72='Exit Strategies'!$D$4,'Exit Strategies'!$D$29*H74,IF(H72='Exit Strategies'!$H$7,0,H73))</f>
        <v>100000</v>
      </c>
      <c r="I81" s="577">
        <f>IF(I72='Exit Strategies'!$D$4,'Exit Strategies'!$D$29*I74,IF(I72='Exit Strategies'!$H$7,0,I73))</f>
        <v>100000</v>
      </c>
      <c r="J81" s="577">
        <f>IF(J72='Exit Strategies'!$D$4,'Exit Strategies'!$D$29*J74,IF(J72='Exit Strategies'!$H$7,0,J73))</f>
        <v>100000</v>
      </c>
      <c r="K81" s="577">
        <f>IF(K72='Exit Strategies'!$D$4,'Exit Strategies'!$D$29*K74,IF(K72='Exit Strategies'!$H$7,0,K73))</f>
        <v>100000</v>
      </c>
      <c r="L81" s="577">
        <f>IF(L72='Exit Strategies'!$D$4,'Exit Strategies'!$D$29*L74,IF(L72='Exit Strategies'!$H$7,0,L73))</f>
        <v>0</v>
      </c>
      <c r="M81" s="576"/>
      <c r="N81" s="578"/>
      <c r="P81" s="397"/>
    </row>
    <row r="82" spans="1:31" ht="12.75" thickBot="1" x14ac:dyDescent="0.25">
      <c r="B82" s="579" t="s">
        <v>77</v>
      </c>
      <c r="C82" s="580">
        <f ca="1">IF(C72&gt;'Exit Strategies'!$H$7,"",C75+IF(C78="",0,C78))</f>
        <v>16884.402079949676</v>
      </c>
      <c r="D82" s="580">
        <f ca="1">IF(D72&gt;'Exit Strategies'!$H$7,"",D75+IF(D78="",0,D78))</f>
        <v>17661.4978914479</v>
      </c>
      <c r="E82" s="580">
        <f ca="1">IF(E72&gt;'Exit Strategies'!$H$7,"",E75+IF(E78="",0,E78))</f>
        <v>15306.008327117946</v>
      </c>
      <c r="F82" s="580">
        <f ca="1">IF(F72&gt;'Exit Strategies'!$H$7,"",F75+IF(F78="",0,F78))</f>
        <v>11241.717822174696</v>
      </c>
      <c r="G82" s="580">
        <f ca="1">IF(G72&gt;'Exit Strategies'!$H$7,"",G75+IF(G78="",0,G78))</f>
        <v>9240.865311786396</v>
      </c>
      <c r="H82" s="580">
        <f ca="1">IF(H72&gt;'Exit Strategies'!$H$7,"",H75+IF(H78="",0,H78))</f>
        <v>10554.885965776562</v>
      </c>
      <c r="I82" s="580">
        <f ca="1">IF(I72&gt;'Exit Strategies'!$H$7,"",I75+IF(I78="",0,I78))</f>
        <v>11916.879063310125</v>
      </c>
      <c r="J82" s="580">
        <f ca="1">IF(J72&gt;'Exit Strategies'!$H$7,"",J75+IF(J78="",0,J78))</f>
        <v>13328.454814171717</v>
      </c>
      <c r="K82" s="580">
        <f ca="1">IF(K72&gt;'Exit Strategies'!$H$7,"",K75+IF(K78="",0,K78))</f>
        <v>14791.275155169464</v>
      </c>
      <c r="L82" s="580">
        <f ca="1">IF(L72&gt;'Exit Strategies'!$H$7,"",L75+IF(L78="",0,L78))</f>
        <v>111525.18674104841</v>
      </c>
      <c r="M82" s="581">
        <f ca="1">SUM(C82:L82)</f>
        <v>232451.17317195289</v>
      </c>
      <c r="N82" s="582">
        <f ca="1">IF(C73=0,0,M82/C73)</f>
        <v>2.3245117317195287</v>
      </c>
    </row>
    <row r="83" spans="1:31" ht="12.75" thickBot="1" x14ac:dyDescent="0.25">
      <c r="B83" s="236" t="str">
        <f>B66</f>
        <v>Average Annual Return</v>
      </c>
      <c r="C83" s="234"/>
      <c r="D83" s="234"/>
      <c r="E83" s="234"/>
      <c r="F83" s="234"/>
      <c r="G83" s="234"/>
      <c r="H83" s="234"/>
      <c r="I83" s="234"/>
      <c r="J83" s="234"/>
      <c r="K83" s="234"/>
      <c r="L83" s="234"/>
      <c r="M83" s="234"/>
      <c r="N83" s="850">
        <f ca="1">IF(C74=0,0,IF('Exit Strategies'!$D$4="NA",OFFSET(C79,0,'Exit Strategies'!$D$5-1),N84))</f>
        <v>0.23245117317195291</v>
      </c>
      <c r="P83" s="422"/>
    </row>
    <row r="84" spans="1:31" s="91" customFormat="1" ht="12.75" thickBot="1" x14ac:dyDescent="0.25">
      <c r="A84" s="71"/>
      <c r="B84" s="236" t="s">
        <v>9</v>
      </c>
      <c r="C84" s="234"/>
      <c r="D84" s="234"/>
      <c r="E84" s="234"/>
      <c r="F84" s="234"/>
      <c r="G84" s="234"/>
      <c r="H84" s="234"/>
      <c r="I84" s="234"/>
      <c r="J84" s="234"/>
      <c r="K84" s="234"/>
      <c r="L84" s="234"/>
      <c r="M84" s="234"/>
      <c r="N84" s="235">
        <f ca="1">IRR!$F$18</f>
        <v>0.18208640301147283</v>
      </c>
      <c r="O84" s="71"/>
      <c r="P84" s="71"/>
      <c r="Q84" s="71"/>
      <c r="R84" s="71"/>
      <c r="S84" s="71"/>
      <c r="T84" s="71"/>
      <c r="V84" s="71"/>
      <c r="W84" s="71"/>
      <c r="X84" s="71"/>
      <c r="Y84" s="71"/>
      <c r="Z84" s="71"/>
      <c r="AA84" s="71"/>
      <c r="AB84" s="71"/>
      <c r="AC84" s="71"/>
      <c r="AD84" s="71"/>
      <c r="AE84" s="71"/>
    </row>
    <row r="85" spans="1:31" s="91" customFormat="1" ht="12.75" thickBot="1" x14ac:dyDescent="0.25">
      <c r="A85" s="71"/>
      <c r="B85" s="236" t="str">
        <f>B68</f>
        <v>Average Cash on Cash Return</v>
      </c>
      <c r="C85" s="724"/>
      <c r="D85" s="234"/>
      <c r="E85" s="234"/>
      <c r="F85" s="234"/>
      <c r="G85" s="234"/>
      <c r="H85" s="234"/>
      <c r="I85" s="234"/>
      <c r="J85" s="234"/>
      <c r="K85" s="234"/>
      <c r="L85" s="234"/>
      <c r="M85" s="234"/>
      <c r="N85" s="850">
        <f ca="1">IF(C74=0,0,IF('Exit Strategies'!$D$4="NA",OFFSET(C77,0,'Exit Strategies'!$D$5-1),IF('Exit Strategies'!$D$29&gt;0,OFFSET(C77,0,'Exit Strategies'!$D$5-1), OFFSET(C77,0,'Exit Strategies'!$D$4-1))))</f>
        <v>0.13723304180126383</v>
      </c>
      <c r="O85" s="736"/>
      <c r="P85" s="71"/>
      <c r="Q85" s="71"/>
      <c r="R85" s="71"/>
      <c r="S85" s="71"/>
      <c r="T85" s="71"/>
      <c r="U85" s="71"/>
      <c r="V85" s="71"/>
      <c r="W85" s="71"/>
      <c r="X85" s="71"/>
      <c r="Y85" s="71"/>
      <c r="Z85" s="748">
        <f>About!B82</f>
        <v>0</v>
      </c>
      <c r="AA85" s="751">
        <f>About!C82</f>
        <v>0</v>
      </c>
      <c r="AB85" s="71"/>
      <c r="AC85" s="71"/>
      <c r="AD85" s="71"/>
      <c r="AE85" s="71"/>
    </row>
    <row r="86" spans="1:31" x14ac:dyDescent="0.2">
      <c r="E86" s="397"/>
      <c r="F86" s="397"/>
      <c r="G86" s="397"/>
    </row>
    <row r="87" spans="1:31" x14ac:dyDescent="0.2">
      <c r="B87" s="583" t="s">
        <v>246</v>
      </c>
      <c r="C87" s="584"/>
      <c r="D87" s="585"/>
      <c r="E87" s="586"/>
    </row>
    <row r="88" spans="1:31" ht="12.75" thickBot="1" x14ac:dyDescent="0.25">
      <c r="B88" s="415"/>
      <c r="C88" s="415"/>
      <c r="D88" s="415"/>
      <c r="E88" s="415"/>
      <c r="F88" s="587"/>
      <c r="G88" s="415"/>
      <c r="H88" s="415"/>
      <c r="I88" s="415"/>
    </row>
    <row r="89" spans="1:31" s="415" customFormat="1" ht="12.75" thickBot="1" x14ac:dyDescent="0.25">
      <c r="B89" s="676"/>
      <c r="C89" s="677" t="s">
        <v>277</v>
      </c>
      <c r="D89" s="677" t="s">
        <v>241</v>
      </c>
      <c r="E89" s="677" t="s">
        <v>278</v>
      </c>
      <c r="F89" s="677" t="s">
        <v>240</v>
      </c>
      <c r="G89" s="678"/>
      <c r="H89" s="678"/>
      <c r="I89" s="678"/>
      <c r="J89" s="678"/>
      <c r="K89" s="678"/>
      <c r="L89" s="678"/>
      <c r="M89" s="678"/>
      <c r="N89" s="679"/>
    </row>
    <row r="90" spans="1:31" s="415" customFormat="1" x14ac:dyDescent="0.2">
      <c r="B90" s="682" t="s">
        <v>279</v>
      </c>
      <c r="C90" s="683">
        <v>0.05</v>
      </c>
      <c r="D90" s="684"/>
      <c r="E90" s="684"/>
      <c r="F90" s="685"/>
      <c r="G90" s="686"/>
      <c r="H90" s="686"/>
      <c r="I90" s="686"/>
      <c r="J90" s="686"/>
      <c r="K90" s="686"/>
      <c r="L90" s="686"/>
      <c r="M90" s="686"/>
      <c r="N90" s="687"/>
    </row>
    <row r="91" spans="1:31" ht="12.75" customHeight="1" x14ac:dyDescent="0.2">
      <c r="B91" s="671" t="s">
        <v>288</v>
      </c>
      <c r="C91" s="415"/>
      <c r="D91" s="662">
        <v>0.4</v>
      </c>
      <c r="E91" s="663">
        <f>D91*C90</f>
        <v>2.0000000000000004E-2</v>
      </c>
      <c r="F91" s="205" t="s">
        <v>293</v>
      </c>
      <c r="G91" s="219"/>
      <c r="H91" s="219"/>
      <c r="I91" s="219"/>
      <c r="J91" s="219"/>
      <c r="K91" s="415"/>
      <c r="L91" s="415"/>
      <c r="M91" s="415"/>
      <c r="N91" s="588"/>
    </row>
    <row r="92" spans="1:31" ht="12.75" customHeight="1" x14ac:dyDescent="0.2">
      <c r="B92" s="671" t="s">
        <v>289</v>
      </c>
      <c r="C92" s="415"/>
      <c r="D92" s="662">
        <v>0.6</v>
      </c>
      <c r="E92" s="663">
        <f>D92*C90</f>
        <v>0.03</v>
      </c>
      <c r="F92" s="205" t="s">
        <v>298</v>
      </c>
      <c r="G92" s="219"/>
      <c r="H92" s="219"/>
      <c r="I92" s="219"/>
      <c r="J92" s="219"/>
      <c r="K92" s="415"/>
      <c r="L92" s="415"/>
      <c r="M92" s="415"/>
      <c r="N92" s="588"/>
    </row>
    <row r="93" spans="1:31" ht="12.75" customHeight="1" x14ac:dyDescent="0.2">
      <c r="B93" s="671" t="s">
        <v>290</v>
      </c>
      <c r="C93" s="415"/>
      <c r="D93" s="662">
        <v>0</v>
      </c>
      <c r="E93" s="663">
        <f>D93*C90</f>
        <v>0</v>
      </c>
      <c r="F93" s="205"/>
      <c r="G93" s="219"/>
      <c r="H93" s="219"/>
      <c r="I93" s="219"/>
      <c r="J93" s="219"/>
      <c r="K93" s="415"/>
      <c r="L93" s="415"/>
      <c r="M93" s="415"/>
      <c r="N93" s="588"/>
    </row>
    <row r="94" spans="1:31" ht="12.75" x14ac:dyDescent="0.2">
      <c r="B94" s="671" t="s">
        <v>291</v>
      </c>
      <c r="C94" s="415"/>
      <c r="D94" s="662">
        <v>0</v>
      </c>
      <c r="E94" s="663">
        <f>D94*C90</f>
        <v>0</v>
      </c>
      <c r="F94" s="205"/>
      <c r="G94" s="219"/>
      <c r="H94" s="219"/>
      <c r="I94" s="219"/>
      <c r="J94" s="219"/>
      <c r="K94" s="415"/>
      <c r="L94" s="415"/>
      <c r="M94" s="415"/>
      <c r="N94" s="588"/>
    </row>
    <row r="95" spans="1:31" ht="12.75" x14ac:dyDescent="0.2">
      <c r="B95" s="672" t="s">
        <v>280</v>
      </c>
      <c r="C95" s="415"/>
      <c r="D95" s="664">
        <f>SUM(D91:D94)</f>
        <v>1</v>
      </c>
      <c r="E95" s="663"/>
      <c r="F95" s="205"/>
      <c r="G95" s="219"/>
      <c r="H95" s="219"/>
      <c r="I95" s="219"/>
      <c r="J95" s="219"/>
      <c r="K95" s="415"/>
      <c r="L95" s="415"/>
      <c r="M95" s="415"/>
      <c r="N95" s="588"/>
    </row>
    <row r="96" spans="1:31" x14ac:dyDescent="0.2">
      <c r="B96" s="688" t="s">
        <v>281</v>
      </c>
      <c r="C96" s="681">
        <v>0.05</v>
      </c>
      <c r="D96" s="689"/>
      <c r="E96" s="690"/>
      <c r="F96" s="589"/>
      <c r="G96" s="590"/>
      <c r="H96" s="590"/>
      <c r="I96" s="590"/>
      <c r="J96" s="590"/>
      <c r="K96" s="590"/>
      <c r="L96" s="590"/>
      <c r="M96" s="590"/>
      <c r="N96" s="691"/>
    </row>
    <row r="97" spans="2:14" ht="12.75" x14ac:dyDescent="0.2">
      <c r="B97" s="673" t="str">
        <f>B91</f>
        <v>Student</v>
      </c>
      <c r="C97" s="415"/>
      <c r="D97" s="662">
        <v>0.5</v>
      </c>
      <c r="E97" s="663">
        <f>D97*C96</f>
        <v>2.5000000000000001E-2</v>
      </c>
      <c r="F97" s="205" t="s">
        <v>299</v>
      </c>
      <c r="G97" s="219"/>
      <c r="H97" s="219"/>
      <c r="I97" s="219"/>
      <c r="J97" s="219"/>
      <c r="K97" s="415"/>
      <c r="L97" s="415"/>
      <c r="M97" s="415"/>
      <c r="N97" s="588"/>
    </row>
    <row r="98" spans="2:14" ht="12.75" customHeight="1" x14ac:dyDescent="0.2">
      <c r="B98" s="673" t="str">
        <f>B92</f>
        <v>The Michael Blank Team</v>
      </c>
      <c r="C98" s="415"/>
      <c r="D98" s="662">
        <v>0.5</v>
      </c>
      <c r="E98" s="663">
        <f>D98*C96</f>
        <v>2.5000000000000001E-2</v>
      </c>
      <c r="F98" s="205"/>
      <c r="G98" s="219"/>
      <c r="H98" s="219"/>
      <c r="I98" s="219"/>
      <c r="J98" s="219"/>
      <c r="K98" s="415"/>
      <c r="L98" s="415"/>
      <c r="M98" s="415"/>
      <c r="N98" s="588"/>
    </row>
    <row r="99" spans="2:14" ht="12.75" customHeight="1" x14ac:dyDescent="0.2">
      <c r="B99" s="673" t="str">
        <f>B93</f>
        <v>Partner 3</v>
      </c>
      <c r="C99" s="415"/>
      <c r="D99" s="662">
        <v>0</v>
      </c>
      <c r="E99" s="663">
        <f>D99*C96</f>
        <v>0</v>
      </c>
      <c r="F99" s="205"/>
      <c r="G99" s="219"/>
      <c r="H99" s="219"/>
      <c r="I99" s="219"/>
      <c r="J99" s="219"/>
      <c r="K99" s="415"/>
      <c r="L99" s="415"/>
      <c r="M99" s="415"/>
      <c r="N99" s="588"/>
    </row>
    <row r="100" spans="2:14" ht="12.75" customHeight="1" x14ac:dyDescent="0.2">
      <c r="B100" s="673" t="str">
        <f>B94</f>
        <v>Partner 4</v>
      </c>
      <c r="C100" s="415"/>
      <c r="D100" s="662">
        <v>0</v>
      </c>
      <c r="E100" s="663">
        <f>D100*C96</f>
        <v>0</v>
      </c>
      <c r="F100" s="205"/>
      <c r="G100" s="219"/>
      <c r="H100" s="219"/>
      <c r="I100" s="219"/>
      <c r="J100" s="219"/>
      <c r="K100" s="415"/>
      <c r="L100" s="415"/>
      <c r="M100" s="415"/>
      <c r="N100" s="588"/>
    </row>
    <row r="101" spans="2:14" ht="12.75" x14ac:dyDescent="0.2">
      <c r="B101" s="672" t="s">
        <v>280</v>
      </c>
      <c r="C101" s="415"/>
      <c r="D101" s="664">
        <f>SUM(D97:D100)</f>
        <v>1</v>
      </c>
      <c r="E101" s="663"/>
      <c r="F101" s="205"/>
      <c r="G101" s="219"/>
      <c r="H101" s="219"/>
      <c r="I101" s="219"/>
      <c r="J101" s="219"/>
      <c r="K101" s="415"/>
      <c r="L101" s="415"/>
      <c r="M101" s="415"/>
      <c r="N101" s="588"/>
    </row>
    <row r="102" spans="2:14" x14ac:dyDescent="0.2">
      <c r="B102" s="688" t="s">
        <v>282</v>
      </c>
      <c r="C102" s="681">
        <v>0.3</v>
      </c>
      <c r="D102" s="689"/>
      <c r="E102" s="690"/>
      <c r="F102" s="692" t="s">
        <v>283</v>
      </c>
      <c r="G102" s="590"/>
      <c r="H102" s="590"/>
      <c r="I102" s="590"/>
      <c r="J102" s="590"/>
      <c r="K102" s="590"/>
      <c r="L102" s="590"/>
      <c r="M102" s="590"/>
      <c r="N102" s="691"/>
    </row>
    <row r="103" spans="2:14" ht="12.75" x14ac:dyDescent="0.2">
      <c r="B103" s="673" t="str">
        <f>B97</f>
        <v>Student</v>
      </c>
      <c r="C103" s="415"/>
      <c r="D103" s="665">
        <f>IF(F107=0,0,F103/F107)</f>
        <v>0</v>
      </c>
      <c r="E103" s="663">
        <f>D103*C102</f>
        <v>0</v>
      </c>
      <c r="F103" s="666">
        <v>0</v>
      </c>
      <c r="G103" s="712" t="s">
        <v>296</v>
      </c>
      <c r="H103" s="219"/>
      <c r="I103" s="219"/>
      <c r="J103" s="219"/>
      <c r="K103" s="415"/>
      <c r="L103" s="415"/>
      <c r="M103" s="415"/>
      <c r="N103" s="588"/>
    </row>
    <row r="104" spans="2:14" ht="12.75" x14ac:dyDescent="0.2">
      <c r="B104" s="673" t="str">
        <f>B98</f>
        <v>The Michael Blank Team</v>
      </c>
      <c r="C104" s="415"/>
      <c r="D104" s="665">
        <f>IF(F107=0,0,F104/F107)</f>
        <v>1</v>
      </c>
      <c r="E104" s="663">
        <f>D104*C102</f>
        <v>0.3</v>
      </c>
      <c r="F104" s="666">
        <v>100000</v>
      </c>
      <c r="G104" s="712" t="s">
        <v>297</v>
      </c>
      <c r="H104" s="219"/>
      <c r="I104" s="219"/>
      <c r="J104" s="219"/>
      <c r="K104" s="415"/>
      <c r="L104" s="415"/>
      <c r="M104" s="415"/>
      <c r="N104" s="588"/>
    </row>
    <row r="105" spans="2:14" ht="12.75" x14ac:dyDescent="0.2">
      <c r="B105" s="673" t="str">
        <f>B99</f>
        <v>Partner 3</v>
      </c>
      <c r="C105" s="415"/>
      <c r="D105" s="665">
        <f>IF(F107=0,0,F105/F107)</f>
        <v>0</v>
      </c>
      <c r="E105" s="663">
        <f>D105*C102</f>
        <v>0</v>
      </c>
      <c r="F105" s="666">
        <v>0</v>
      </c>
      <c r="G105" s="219"/>
      <c r="H105" s="219"/>
      <c r="I105" s="219"/>
      <c r="J105" s="219"/>
      <c r="K105" s="415"/>
      <c r="L105" s="415"/>
      <c r="M105" s="415"/>
      <c r="N105" s="588"/>
    </row>
    <row r="106" spans="2:14" ht="12.75" x14ac:dyDescent="0.2">
      <c r="B106" s="673" t="str">
        <f>B100</f>
        <v>Partner 4</v>
      </c>
      <c r="C106" s="415"/>
      <c r="D106" s="665">
        <f>IF(F107=0,0,F106/F107)</f>
        <v>0</v>
      </c>
      <c r="E106" s="663">
        <f>D106*C102</f>
        <v>0</v>
      </c>
      <c r="F106" s="666">
        <v>0</v>
      </c>
      <c r="G106" s="219"/>
      <c r="H106" s="219"/>
      <c r="I106" s="219"/>
      <c r="J106" s="219"/>
      <c r="K106" s="415"/>
      <c r="L106" s="415"/>
      <c r="M106" s="415"/>
      <c r="N106" s="588"/>
    </row>
    <row r="107" spans="2:14" ht="12.75" x14ac:dyDescent="0.2">
      <c r="B107" s="672" t="s">
        <v>280</v>
      </c>
      <c r="C107" s="415"/>
      <c r="D107" s="664">
        <f>SUM(D103:D106)</f>
        <v>1</v>
      </c>
      <c r="E107" s="663"/>
      <c r="F107" s="667">
        <f>SUM(F103:F106)</f>
        <v>100000</v>
      </c>
      <c r="G107" s="219"/>
      <c r="H107" s="219"/>
      <c r="I107" s="219"/>
      <c r="J107" s="219"/>
      <c r="K107" s="415"/>
      <c r="L107" s="415"/>
      <c r="M107" s="415"/>
      <c r="N107" s="588"/>
    </row>
    <row r="108" spans="2:14" x14ac:dyDescent="0.2">
      <c r="B108" s="688" t="s">
        <v>284</v>
      </c>
      <c r="C108" s="681">
        <v>0.1</v>
      </c>
      <c r="D108" s="693"/>
      <c r="E108" s="690"/>
      <c r="F108" s="589"/>
      <c r="G108" s="590"/>
      <c r="H108" s="590"/>
      <c r="I108" s="590"/>
      <c r="J108" s="590"/>
      <c r="K108" s="590"/>
      <c r="L108" s="590"/>
      <c r="M108" s="590"/>
      <c r="N108" s="691"/>
    </row>
    <row r="109" spans="2:14" ht="12.75" x14ac:dyDescent="0.2">
      <c r="B109" s="673" t="str">
        <f>B97</f>
        <v>Student</v>
      </c>
      <c r="C109" s="415"/>
      <c r="D109" s="662">
        <v>0</v>
      </c>
      <c r="E109" s="663">
        <f>D109*C108</f>
        <v>0</v>
      </c>
      <c r="F109" s="205"/>
      <c r="G109" s="219"/>
      <c r="H109" s="219"/>
      <c r="I109" s="219"/>
      <c r="J109" s="219"/>
      <c r="K109" s="415"/>
      <c r="L109" s="415"/>
      <c r="M109" s="415"/>
      <c r="N109" s="588"/>
    </row>
    <row r="110" spans="2:14" ht="12.75" customHeight="1" x14ac:dyDescent="0.2">
      <c r="B110" s="673" t="str">
        <f>B98</f>
        <v>The Michael Blank Team</v>
      </c>
      <c r="C110" s="415"/>
      <c r="D110" s="662">
        <v>1</v>
      </c>
      <c r="E110" s="663">
        <f>D110*C108</f>
        <v>0.1</v>
      </c>
      <c r="F110" s="205"/>
      <c r="G110" s="219" t="s">
        <v>292</v>
      </c>
      <c r="H110" s="219"/>
      <c r="I110" s="668"/>
      <c r="J110" s="219"/>
      <c r="K110" s="415"/>
      <c r="L110" s="415"/>
      <c r="M110" s="415"/>
      <c r="N110" s="588"/>
    </row>
    <row r="111" spans="2:14" ht="12.75" customHeight="1" x14ac:dyDescent="0.2">
      <c r="B111" s="673" t="str">
        <f>B99</f>
        <v>Partner 3</v>
      </c>
      <c r="C111" s="415"/>
      <c r="D111" s="662">
        <v>0</v>
      </c>
      <c r="E111" s="663">
        <f>D111*C108</f>
        <v>0</v>
      </c>
      <c r="F111" s="205"/>
      <c r="G111" s="219"/>
      <c r="H111" s="219"/>
      <c r="I111" s="669"/>
      <c r="J111" s="219"/>
      <c r="K111" s="415"/>
      <c r="L111" s="415"/>
      <c r="M111" s="415"/>
      <c r="N111" s="588"/>
    </row>
    <row r="112" spans="2:14" ht="12.75" customHeight="1" x14ac:dyDescent="0.2">
      <c r="B112" s="673" t="str">
        <f>B100</f>
        <v>Partner 4</v>
      </c>
      <c r="C112" s="415"/>
      <c r="D112" s="662">
        <v>0</v>
      </c>
      <c r="E112" s="663">
        <f>D112*C108</f>
        <v>0</v>
      </c>
      <c r="F112" s="205"/>
      <c r="G112" s="219"/>
      <c r="H112" s="219"/>
      <c r="I112" s="669"/>
      <c r="J112" s="219"/>
      <c r="K112" s="415"/>
      <c r="L112" s="415"/>
      <c r="M112" s="415"/>
      <c r="N112" s="588"/>
    </row>
    <row r="113" spans="2:14" ht="12.75" x14ac:dyDescent="0.2">
      <c r="B113" s="672" t="s">
        <v>280</v>
      </c>
      <c r="C113" s="415"/>
      <c r="D113" s="664">
        <f>SUM(D109:D112)</f>
        <v>1</v>
      </c>
      <c r="E113" s="663"/>
      <c r="F113" s="205"/>
      <c r="G113" s="219"/>
      <c r="H113" s="219"/>
      <c r="I113" s="219"/>
      <c r="J113" s="219"/>
      <c r="K113" s="415"/>
      <c r="L113" s="415"/>
      <c r="M113" s="415"/>
      <c r="N113" s="588"/>
    </row>
    <row r="114" spans="2:14" x14ac:dyDescent="0.2">
      <c r="B114" s="688" t="s">
        <v>285</v>
      </c>
      <c r="C114" s="681">
        <v>0.35</v>
      </c>
      <c r="D114" s="693"/>
      <c r="E114" s="690"/>
      <c r="F114" s="589"/>
      <c r="G114" s="590"/>
      <c r="H114" s="590"/>
      <c r="I114" s="590"/>
      <c r="J114" s="590"/>
      <c r="K114" s="590"/>
      <c r="L114" s="590"/>
      <c r="M114" s="590"/>
      <c r="N114" s="691"/>
    </row>
    <row r="115" spans="2:14" ht="12.75" x14ac:dyDescent="0.2">
      <c r="B115" s="673" t="str">
        <f>B109</f>
        <v>Student</v>
      </c>
      <c r="C115" s="415"/>
      <c r="D115" s="662">
        <v>0.8</v>
      </c>
      <c r="E115" s="663">
        <f>D115*C114</f>
        <v>0.27999999999999997</v>
      </c>
      <c r="F115" s="205"/>
      <c r="G115" s="219" t="s">
        <v>294</v>
      </c>
      <c r="H115" s="219"/>
      <c r="I115" s="219"/>
      <c r="J115" s="219"/>
      <c r="K115" s="415"/>
      <c r="L115" s="415"/>
      <c r="M115" s="415"/>
      <c r="N115" s="588"/>
    </row>
    <row r="116" spans="2:14" ht="12.75" customHeight="1" x14ac:dyDescent="0.2">
      <c r="B116" s="673" t="str">
        <f>B110</f>
        <v>The Michael Blank Team</v>
      </c>
      <c r="C116" s="415"/>
      <c r="D116" s="662">
        <v>0.2</v>
      </c>
      <c r="E116" s="663">
        <f>D116*C114</f>
        <v>6.9999999999999993E-2</v>
      </c>
      <c r="F116" s="205"/>
      <c r="G116" s="219"/>
      <c r="H116" s="219"/>
      <c r="I116" s="219"/>
      <c r="J116" s="219"/>
      <c r="K116" s="415"/>
      <c r="L116" s="415"/>
      <c r="M116" s="415"/>
      <c r="N116" s="588"/>
    </row>
    <row r="117" spans="2:14" ht="12.75" customHeight="1" x14ac:dyDescent="0.2">
      <c r="B117" s="673" t="str">
        <f>B111</f>
        <v>Partner 3</v>
      </c>
      <c r="C117" s="415"/>
      <c r="D117" s="662">
        <v>0</v>
      </c>
      <c r="E117" s="663">
        <f>D117*C114</f>
        <v>0</v>
      </c>
      <c r="F117" s="205"/>
      <c r="G117" s="219"/>
      <c r="H117" s="219"/>
      <c r="I117" s="219"/>
      <c r="J117" s="219"/>
      <c r="K117" s="415"/>
      <c r="L117" s="415"/>
      <c r="M117" s="415"/>
      <c r="N117" s="588"/>
    </row>
    <row r="118" spans="2:14" ht="12.75" customHeight="1" x14ac:dyDescent="0.2">
      <c r="B118" s="673" t="str">
        <f>B112</f>
        <v>Partner 4</v>
      </c>
      <c r="C118" s="415"/>
      <c r="D118" s="662">
        <v>0</v>
      </c>
      <c r="E118" s="663">
        <f>D118*C114</f>
        <v>0</v>
      </c>
      <c r="F118" s="205"/>
      <c r="G118" s="219"/>
      <c r="H118" s="219"/>
      <c r="I118" s="219"/>
      <c r="J118" s="219"/>
      <c r="K118" s="415"/>
      <c r="L118" s="415"/>
      <c r="M118" s="415"/>
      <c r="N118" s="588"/>
    </row>
    <row r="119" spans="2:14" ht="12.75" x14ac:dyDescent="0.2">
      <c r="B119" s="672" t="s">
        <v>280</v>
      </c>
      <c r="C119" s="415"/>
      <c r="D119" s="664">
        <f>SUM(D115:D118)</f>
        <v>1</v>
      </c>
      <c r="E119" s="663"/>
      <c r="F119" s="205"/>
      <c r="G119" s="219"/>
      <c r="H119" s="219"/>
      <c r="I119" s="219"/>
      <c r="J119" s="219"/>
      <c r="K119" s="415"/>
      <c r="L119" s="415"/>
      <c r="M119" s="415"/>
      <c r="N119" s="588"/>
    </row>
    <row r="120" spans="2:14" x14ac:dyDescent="0.2">
      <c r="B120" s="710" t="s">
        <v>295</v>
      </c>
      <c r="C120" s="681">
        <v>0.15</v>
      </c>
      <c r="D120" s="693"/>
      <c r="E120" s="690"/>
      <c r="F120" s="589"/>
      <c r="G120" s="590"/>
      <c r="H120" s="590"/>
      <c r="I120" s="590"/>
      <c r="J120" s="590"/>
      <c r="K120" s="590"/>
      <c r="L120" s="590"/>
      <c r="M120" s="590"/>
      <c r="N120" s="691"/>
    </row>
    <row r="121" spans="2:14" ht="12.75" x14ac:dyDescent="0.2">
      <c r="B121" s="673" t="str">
        <f>B115</f>
        <v>Student</v>
      </c>
      <c r="C121" s="415"/>
      <c r="D121" s="662">
        <v>0</v>
      </c>
      <c r="E121" s="663">
        <f>D121*C120</f>
        <v>0</v>
      </c>
      <c r="F121" s="205"/>
      <c r="G121" s="219"/>
      <c r="H121" s="219"/>
      <c r="I121" s="219"/>
      <c r="J121" s="219"/>
      <c r="K121" s="415"/>
      <c r="L121" s="415"/>
      <c r="M121" s="415"/>
      <c r="N121" s="588"/>
    </row>
    <row r="122" spans="2:14" ht="12.75" customHeight="1" x14ac:dyDescent="0.2">
      <c r="B122" s="673" t="str">
        <f>B116</f>
        <v>The Michael Blank Team</v>
      </c>
      <c r="C122" s="415"/>
      <c r="D122" s="662">
        <v>1</v>
      </c>
      <c r="E122" s="663">
        <f>D122*C120</f>
        <v>0.15</v>
      </c>
      <c r="F122" s="205"/>
      <c r="G122" s="712" t="s">
        <v>300</v>
      </c>
      <c r="H122" s="219"/>
      <c r="I122" s="219"/>
      <c r="J122" s="219"/>
      <c r="K122" s="415"/>
      <c r="L122" s="415"/>
      <c r="M122" s="415"/>
      <c r="N122" s="588"/>
    </row>
    <row r="123" spans="2:14" ht="12.75" customHeight="1" x14ac:dyDescent="0.2">
      <c r="B123" s="673" t="str">
        <f>B117</f>
        <v>Partner 3</v>
      </c>
      <c r="C123" s="415"/>
      <c r="D123" s="662">
        <v>0</v>
      </c>
      <c r="E123" s="663">
        <f>D123*C120</f>
        <v>0</v>
      </c>
      <c r="F123" s="205"/>
      <c r="G123" s="219"/>
      <c r="H123" s="219"/>
      <c r="I123" s="219"/>
      <c r="J123" s="219"/>
      <c r="K123" s="415"/>
      <c r="L123" s="415"/>
      <c r="M123" s="415"/>
      <c r="N123" s="588"/>
    </row>
    <row r="124" spans="2:14" ht="12.75" customHeight="1" x14ac:dyDescent="0.2">
      <c r="B124" s="673" t="str">
        <f>B118</f>
        <v>Partner 4</v>
      </c>
      <c r="C124" s="415"/>
      <c r="D124" s="662">
        <v>0</v>
      </c>
      <c r="E124" s="663">
        <f>D124*C120</f>
        <v>0</v>
      </c>
      <c r="F124" s="205"/>
      <c r="G124" s="219"/>
      <c r="H124" s="219"/>
      <c r="I124" s="219"/>
      <c r="J124" s="219"/>
      <c r="K124" s="415"/>
      <c r="L124" s="415"/>
      <c r="M124" s="415"/>
      <c r="N124" s="588"/>
    </row>
    <row r="125" spans="2:14" ht="12.75" x14ac:dyDescent="0.2">
      <c r="B125" s="672" t="s">
        <v>280</v>
      </c>
      <c r="C125" s="415"/>
      <c r="D125" s="664">
        <f>SUM(D121:D124)</f>
        <v>1</v>
      </c>
      <c r="E125" s="663"/>
      <c r="F125" s="205"/>
      <c r="G125" s="219"/>
      <c r="H125" s="219"/>
      <c r="I125" s="219"/>
      <c r="J125" s="219"/>
      <c r="K125" s="415"/>
      <c r="L125" s="415"/>
      <c r="M125" s="415"/>
      <c r="N125" s="588"/>
    </row>
    <row r="126" spans="2:14" x14ac:dyDescent="0.2">
      <c r="B126" s="680" t="s">
        <v>286</v>
      </c>
      <c r="C126" s="705">
        <f>SUM(C90:C125)</f>
        <v>1</v>
      </c>
      <c r="D126" s="706"/>
      <c r="E126" s="705">
        <f>SUM(E90:E125)</f>
        <v>1</v>
      </c>
      <c r="F126" s="707"/>
      <c r="G126" s="708"/>
      <c r="H126" s="708"/>
      <c r="I126" s="708"/>
      <c r="J126" s="708"/>
      <c r="K126" s="708"/>
      <c r="L126" s="708"/>
      <c r="M126" s="708"/>
      <c r="N126" s="709"/>
    </row>
    <row r="127" spans="2:14" x14ac:dyDescent="0.2">
      <c r="B127" s="698"/>
      <c r="C127" s="699"/>
      <c r="D127" s="700"/>
      <c r="E127" s="701" t="s">
        <v>278</v>
      </c>
      <c r="F127" s="702" t="s">
        <v>287</v>
      </c>
      <c r="G127" s="703"/>
      <c r="H127" s="703"/>
      <c r="I127" s="703"/>
      <c r="J127" s="703"/>
      <c r="K127" s="703"/>
      <c r="L127" s="703"/>
      <c r="M127" s="703"/>
      <c r="N127" s="704"/>
    </row>
    <row r="128" spans="2:14" x14ac:dyDescent="0.2">
      <c r="B128" s="674" t="str">
        <f>B115</f>
        <v>Student</v>
      </c>
      <c r="C128" s="661"/>
      <c r="D128" s="661"/>
      <c r="E128" s="670">
        <f>E91+E97+E103+E109+E115+E121</f>
        <v>0.32499999999999996</v>
      </c>
      <c r="F128" s="670">
        <f>E128*Summary!$D$42</f>
        <v>9.7499999999999989E-2</v>
      </c>
      <c r="G128" s="661"/>
      <c r="H128" s="661"/>
      <c r="I128" s="661"/>
      <c r="J128" s="661"/>
      <c r="K128" s="661"/>
      <c r="L128" s="661"/>
      <c r="M128" s="661"/>
      <c r="N128" s="675"/>
    </row>
    <row r="129" spans="2:14" x14ac:dyDescent="0.2">
      <c r="B129" s="674" t="str">
        <f>B116</f>
        <v>The Michael Blank Team</v>
      </c>
      <c r="C129" s="661"/>
      <c r="D129" s="661"/>
      <c r="E129" s="670">
        <f>E92+E98+E104+E110+E116+E122</f>
        <v>0.67499999999999993</v>
      </c>
      <c r="F129" s="670">
        <f>E129*Summary!$D$42</f>
        <v>0.20249999999999999</v>
      </c>
      <c r="G129" s="661"/>
      <c r="H129" s="661"/>
      <c r="I129" s="661"/>
      <c r="J129" s="661"/>
      <c r="K129" s="661"/>
      <c r="L129" s="661"/>
      <c r="M129" s="661"/>
      <c r="N129" s="675"/>
    </row>
    <row r="130" spans="2:14" x14ac:dyDescent="0.2">
      <c r="B130" s="674" t="str">
        <f>B117</f>
        <v>Partner 3</v>
      </c>
      <c r="C130" s="661"/>
      <c r="D130" s="661"/>
      <c r="E130" s="670">
        <f>E93+E99+E105+E111+E117+E123</f>
        <v>0</v>
      </c>
      <c r="F130" s="670">
        <f>E130*Summary!$D$42</f>
        <v>0</v>
      </c>
      <c r="G130" s="661"/>
      <c r="H130" s="661"/>
      <c r="I130" s="661"/>
      <c r="J130" s="661"/>
      <c r="K130" s="661"/>
      <c r="L130" s="661"/>
      <c r="M130" s="661"/>
      <c r="N130" s="675"/>
    </row>
    <row r="131" spans="2:14" ht="12.75" thickBot="1" x14ac:dyDescent="0.25">
      <c r="B131" s="674" t="str">
        <f>B118</f>
        <v>Partner 4</v>
      </c>
      <c r="C131" s="661"/>
      <c r="D131" s="661"/>
      <c r="E131" s="670">
        <f>E94+E100+E106+E112+E118+E124</f>
        <v>0</v>
      </c>
      <c r="F131" s="670">
        <f>E131*Summary!$D$42</f>
        <v>0</v>
      </c>
      <c r="G131" s="661"/>
      <c r="H131" s="661"/>
      <c r="I131" s="661"/>
      <c r="J131" s="661"/>
      <c r="K131" s="661"/>
      <c r="L131" s="661"/>
      <c r="M131" s="661"/>
      <c r="N131" s="675"/>
    </row>
    <row r="132" spans="2:14" ht="12.75" thickBot="1" x14ac:dyDescent="0.25">
      <c r="B132" s="694"/>
      <c r="C132" s="695"/>
      <c r="D132" s="695"/>
      <c r="E132" s="696">
        <f>SUM(E128:E131)</f>
        <v>0.99999999999999989</v>
      </c>
      <c r="F132" s="696">
        <f>SUM(F128:F131)</f>
        <v>0.3</v>
      </c>
      <c r="G132" s="695"/>
      <c r="H132" s="695"/>
      <c r="I132" s="695"/>
      <c r="J132" s="695"/>
      <c r="K132" s="695"/>
      <c r="L132" s="695"/>
      <c r="M132" s="695"/>
      <c r="N132" s="697"/>
    </row>
    <row r="135" spans="2:14" x14ac:dyDescent="0.2">
      <c r="B135" s="218" t="s">
        <v>301</v>
      </c>
    </row>
    <row r="136" spans="2:14" x14ac:dyDescent="0.2">
      <c r="B136" s="218" t="s">
        <v>140</v>
      </c>
    </row>
  </sheetData>
  <customSheetViews>
    <customSheetView guid="{238A3432-2201-4481-B06C-00480E9813A7}" scale="110" showRuler="0" topLeftCell="A5">
      <selection activeCell="C29" sqref="C29"/>
      <pageMargins left="0.7" right="0.7" top="0.75" bottom="0.75" header="0.3" footer="0.3"/>
      <pageSetup orientation="portrait" horizontalDpi="0" verticalDpi="0"/>
      <headerFooter alignWithMargins="0"/>
    </customSheetView>
  </customSheetViews>
  <mergeCells count="1">
    <mergeCell ref="A1:N1"/>
  </mergeCells>
  <phoneticPr fontId="0" type="noConversion"/>
  <conditionalFormatting sqref="C55:L55 C20:L20 C71:L71 C4:L4">
    <cfRule type="cellIs" dxfId="14" priority="1" stopIfTrue="1" operator="equal">
      <formula>"REFINANCE!"</formula>
    </cfRule>
    <cfRule type="cellIs" dxfId="13" priority="2" stopIfTrue="1" operator="equal">
      <formula>"SALE!"</formula>
    </cfRule>
  </conditionalFormatting>
  <conditionalFormatting sqref="N17">
    <cfRule type="cellIs" priority="5" stopIfTrue="1" operator="equal">
      <formula>0</formula>
    </cfRule>
    <cfRule type="cellIs" dxfId="12" priority="6" stopIfTrue="1" operator="greaterThanOrEqual">
      <formula>$AA$12</formula>
    </cfRule>
    <cfRule type="cellIs" dxfId="11" priority="7" stopIfTrue="1" operator="lessThan">
      <formula>$AA$12</formula>
    </cfRule>
  </conditionalFormatting>
  <conditionalFormatting sqref="N16">
    <cfRule type="cellIs" priority="8" stopIfTrue="1" operator="equal">
      <formula>0</formula>
    </cfRule>
    <cfRule type="cellIs" dxfId="10" priority="9" stopIfTrue="1" operator="greaterThanOrEqual">
      <formula>$AA$9</formula>
    </cfRule>
    <cfRule type="cellIs" dxfId="9" priority="10" stopIfTrue="1" operator="lessThan">
      <formula>$AA$9</formula>
    </cfRule>
  </conditionalFormatting>
  <conditionalFormatting sqref="N15">
    <cfRule type="cellIs" priority="11" stopIfTrue="1" operator="equal">
      <formula>0</formula>
    </cfRule>
    <cfRule type="cellIs" dxfId="8" priority="12" stopIfTrue="1" operator="lessThan">
      <formula>$AA$8</formula>
    </cfRule>
    <cfRule type="cellIs" dxfId="7" priority="13" stopIfTrue="1" operator="greaterThanOrEqual">
      <formula>$AA$8</formula>
    </cfRule>
  </conditionalFormatting>
  <pageMargins left="0.28000000000000003" right="0.24" top="1" bottom="1" header="0.5" footer="0.5"/>
  <pageSetup orientation="landscape" horizontalDpi="1200" verticalDpi="1200"/>
  <headerFooter alignWithMargins="0"/>
  <cellWatches>
    <cellWatch r="F10"/>
  </cellWatche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AP41"/>
  <sheetViews>
    <sheetView topLeftCell="A2" workbookViewId="0">
      <selection activeCell="A22" sqref="A22"/>
    </sheetView>
  </sheetViews>
  <sheetFormatPr defaultColWidth="8.85546875" defaultRowHeight="12" x14ac:dyDescent="0.2"/>
  <cols>
    <col min="1" max="1" width="5.85546875" style="221" customWidth="1"/>
    <col min="2" max="2" width="7.42578125" style="221" customWidth="1"/>
    <col min="3" max="3" width="14.7109375" style="221" customWidth="1"/>
    <col min="4" max="4" width="13.28515625" style="221" customWidth="1"/>
    <col min="5" max="5" width="15.42578125" style="221" customWidth="1"/>
    <col min="6" max="6" width="11.42578125" style="221" customWidth="1"/>
    <col min="7" max="7" width="5.42578125" style="221" customWidth="1"/>
    <col min="8" max="15" width="8.85546875" style="221"/>
    <col min="16" max="16" width="27" style="221" hidden="1" customWidth="1"/>
    <col min="17" max="17" width="0" style="221" hidden="1" customWidth="1"/>
    <col min="18" max="16384" width="8.85546875" style="221"/>
  </cols>
  <sheetData>
    <row r="1" spans="1:42" s="222" customFormat="1" ht="15.75" x14ac:dyDescent="0.2">
      <c r="A1" s="972" t="s">
        <v>202</v>
      </c>
      <c r="B1" s="973"/>
      <c r="C1" s="973"/>
      <c r="D1" s="973"/>
      <c r="E1" s="973"/>
      <c r="F1" s="973"/>
      <c r="G1" s="973"/>
      <c r="H1" s="224"/>
      <c r="I1" s="224"/>
      <c r="J1" s="224"/>
      <c r="K1" s="224"/>
      <c r="L1" s="225"/>
      <c r="M1" s="225"/>
      <c r="N1" s="225"/>
      <c r="O1" s="225"/>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row>
    <row r="2" spans="1:42" s="226" customFormat="1" ht="11.25" customHeight="1" x14ac:dyDescent="0.2">
      <c r="A2" s="223"/>
      <c r="B2" s="224"/>
      <c r="C2" s="224"/>
      <c r="D2" s="224"/>
      <c r="E2" s="224"/>
      <c r="F2" s="224"/>
      <c r="G2" s="224"/>
      <c r="H2" s="224"/>
      <c r="I2" s="224"/>
      <c r="J2" s="224"/>
      <c r="K2" s="224"/>
      <c r="L2" s="225"/>
      <c r="M2" s="225"/>
      <c r="N2" s="225"/>
      <c r="O2" s="225"/>
    </row>
    <row r="3" spans="1:42" x14ac:dyDescent="0.2">
      <c r="A3" s="468"/>
      <c r="B3" s="996" t="s">
        <v>70</v>
      </c>
      <c r="C3" s="997"/>
      <c r="D3" s="997"/>
      <c r="E3" s="997"/>
      <c r="F3" s="997"/>
      <c r="G3" s="468"/>
      <c r="H3" s="468"/>
      <c r="I3" s="468"/>
      <c r="J3" s="468"/>
      <c r="K3" s="468"/>
      <c r="L3" s="468"/>
      <c r="M3" s="468"/>
      <c r="N3" s="468"/>
      <c r="O3" s="468"/>
      <c r="P3" s="468"/>
    </row>
    <row r="4" spans="1:42" ht="12.75" thickBot="1" x14ac:dyDescent="0.25">
      <c r="A4" s="468"/>
      <c r="B4" s="998"/>
      <c r="C4" s="998"/>
      <c r="D4" s="998"/>
      <c r="E4" s="998"/>
      <c r="F4" s="998"/>
      <c r="G4" s="468"/>
      <c r="H4" s="468"/>
      <c r="I4" s="468"/>
      <c r="J4" s="468"/>
      <c r="K4" s="468"/>
      <c r="L4" s="468"/>
      <c r="M4" s="468"/>
      <c r="N4" s="468"/>
      <c r="O4" s="468"/>
      <c r="P4" s="468"/>
    </row>
    <row r="5" spans="1:42" ht="24" x14ac:dyDescent="0.2">
      <c r="B5" s="83" t="s">
        <v>10</v>
      </c>
      <c r="C5" s="84" t="s">
        <v>56</v>
      </c>
      <c r="D5" s="84" t="s">
        <v>68</v>
      </c>
      <c r="E5" s="84" t="s">
        <v>185</v>
      </c>
      <c r="F5" s="85" t="s">
        <v>42</v>
      </c>
      <c r="G5" s="468"/>
      <c r="H5" s="468"/>
      <c r="I5" s="468"/>
      <c r="J5" s="468"/>
      <c r="K5" s="468"/>
      <c r="L5" s="468"/>
      <c r="M5" s="468"/>
      <c r="N5" s="468"/>
      <c r="O5" s="468"/>
      <c r="P5" s="740" t="str">
        <f>About!B3</f>
        <v>Key Metric</v>
      </c>
      <c r="Q5" s="740" t="str">
        <f>About!C3</f>
        <v>Minimum Criteria</v>
      </c>
    </row>
    <row r="6" spans="1:42" x14ac:dyDescent="0.2">
      <c r="B6" s="86">
        <v>0</v>
      </c>
      <c r="C6" s="87">
        <f>-Summary!D21</f>
        <v>-3697210.9879999999</v>
      </c>
      <c r="D6" s="87">
        <v>0</v>
      </c>
      <c r="E6" s="87"/>
      <c r="F6" s="88">
        <f t="shared" ref="F6:F17" si="0">SUM(C6:E6)</f>
        <v>-3697210.9879999999</v>
      </c>
      <c r="G6" s="468"/>
      <c r="H6" s="468"/>
      <c r="I6" s="468"/>
      <c r="J6" s="468"/>
      <c r="K6" s="468"/>
      <c r="L6" s="468"/>
      <c r="M6" s="468"/>
      <c r="N6" s="468"/>
      <c r="O6" s="468"/>
      <c r="P6" s="748" t="str">
        <f>About!B4</f>
        <v>Debt Coverage Ratio (DCR)</v>
      </c>
      <c r="Q6" s="748">
        <f>About!C4</f>
        <v>1.25</v>
      </c>
    </row>
    <row r="7" spans="1:42" x14ac:dyDescent="0.2">
      <c r="B7" s="86">
        <v>1</v>
      </c>
      <c r="C7" s="87"/>
      <c r="D7" s="87">
        <f ca="1">'P&amp;L'!D48</f>
        <v>624251.96895799995</v>
      </c>
      <c r="E7" s="87" t="str">
        <f>IF(B7='Exit Strategies'!$D$4,'Exit Strategies'!$D$28,IF(B7='Exit Strategies'!$H$7,'Exit Strategies'!$H$22,""))</f>
        <v/>
      </c>
      <c r="F7" s="88">
        <f t="shared" ca="1" si="0"/>
        <v>624251.96895799995</v>
      </c>
      <c r="G7" s="468"/>
      <c r="H7" s="511"/>
      <c r="I7" s="468"/>
      <c r="J7" s="468"/>
      <c r="K7" s="468"/>
      <c r="L7" s="468"/>
      <c r="M7" s="468"/>
      <c r="N7" s="468"/>
      <c r="O7" s="468"/>
      <c r="P7" s="748" t="str">
        <f>About!B6</f>
        <v>Internal Rate of Return (IRR)</v>
      </c>
      <c r="Q7" s="749">
        <f>About!C6</f>
        <v>0.13</v>
      </c>
    </row>
    <row r="8" spans="1:42" x14ac:dyDescent="0.2">
      <c r="B8" s="86">
        <v>2</v>
      </c>
      <c r="C8" s="87"/>
      <c r="D8" s="87">
        <f ca="1">'P&amp;L'!F48</f>
        <v>652982.84068800008</v>
      </c>
      <c r="E8" s="87" t="str">
        <f>IF(B8='Exit Strategies'!$D$4,'Exit Strategies'!$D$28,IF(B8='Exit Strategies'!$H$7,'Exit Strategies'!$H$22,""))</f>
        <v/>
      </c>
      <c r="F8" s="88">
        <f t="shared" ca="1" si="0"/>
        <v>652982.84068800008</v>
      </c>
      <c r="G8" s="468"/>
      <c r="H8" s="468"/>
      <c r="I8" s="468"/>
      <c r="J8" s="468"/>
      <c r="K8" s="468"/>
      <c r="L8" s="468"/>
      <c r="M8" s="468"/>
      <c r="N8" s="468"/>
      <c r="O8" s="468"/>
      <c r="P8" s="748" t="str">
        <f>About!B7</f>
        <v>Expenses</v>
      </c>
      <c r="Q8" s="749">
        <f>About!C7</f>
        <v>0.5</v>
      </c>
    </row>
    <row r="9" spans="1:42" x14ac:dyDescent="0.2">
      <c r="B9" s="86">
        <v>3</v>
      </c>
      <c r="C9" s="87"/>
      <c r="D9" s="87">
        <f ca="1">'P&amp;L'!H48</f>
        <v>565895.42169439967</v>
      </c>
      <c r="E9" s="87" t="str">
        <f>IF(B9='Exit Strategies'!$D$4,'Exit Strategies'!$D$28,IF(B9='Exit Strategies'!$H$7,'Exit Strategies'!$H$22,""))</f>
        <v/>
      </c>
      <c r="F9" s="88">
        <f t="shared" ca="1" si="0"/>
        <v>565895.42169439967</v>
      </c>
      <c r="G9" s="468"/>
      <c r="H9" s="468"/>
      <c r="I9" s="468"/>
      <c r="J9" s="468"/>
      <c r="K9" s="468"/>
      <c r="L9" s="468"/>
      <c r="M9" s="468"/>
      <c r="N9" s="468"/>
      <c r="O9" s="468"/>
      <c r="P9" s="748" t="str">
        <f>About!B8</f>
        <v>% of Capital Returned With Refinance</v>
      </c>
      <c r="Q9" s="749">
        <f>About!C8</f>
        <v>0.6</v>
      </c>
    </row>
    <row r="10" spans="1:42" x14ac:dyDescent="0.2">
      <c r="B10" s="86">
        <v>4</v>
      </c>
      <c r="C10" s="87"/>
      <c r="D10" s="87">
        <f ca="1">'P&amp;L'!J48</f>
        <v>415630.02656139719</v>
      </c>
      <c r="E10" s="87" t="str">
        <f>IF(B10='Exit Strategies'!$D$4,'Exit Strategies'!$D$28,IF(B10='Exit Strategies'!$H$7,'Exit Strategies'!$H$22,""))</f>
        <v/>
      </c>
      <c r="F10" s="88">
        <f t="shared" ca="1" si="0"/>
        <v>415630.02656139719</v>
      </c>
      <c r="G10" s="468"/>
      <c r="H10" s="468"/>
      <c r="I10" s="468"/>
      <c r="J10" s="468"/>
      <c r="K10" s="468"/>
      <c r="L10" s="468"/>
      <c r="M10" s="468"/>
      <c r="N10" s="468"/>
      <c r="O10" s="468"/>
      <c r="P10" s="748" t="str">
        <f>About!B9</f>
        <v>Average Cash on Cash (COC) Return</v>
      </c>
      <c r="Q10" s="749">
        <f>About!C9</f>
        <v>0.09</v>
      </c>
    </row>
    <row r="11" spans="1:42" x14ac:dyDescent="0.2">
      <c r="B11" s="86">
        <v>5</v>
      </c>
      <c r="C11" s="87"/>
      <c r="D11" s="87">
        <f ca="1">'P&amp;L'!L48</f>
        <v>341654.28769364709</v>
      </c>
      <c r="E11" s="87" t="str">
        <f>IF(B11='Exit Strategies'!$D$4,'Exit Strategies'!$D$28,IF(B11='Exit Strategies'!$H$7,'Exit Strategies'!$H$22,""))</f>
        <v/>
      </c>
      <c r="F11" s="88">
        <f t="shared" ca="1" si="0"/>
        <v>341654.28769364709</v>
      </c>
      <c r="G11" s="468"/>
      <c r="H11" s="468"/>
      <c r="I11" s="468"/>
      <c r="J11" s="468"/>
      <c r="K11" s="468"/>
      <c r="L11" s="468"/>
      <c r="M11" s="468"/>
      <c r="N11" s="468"/>
      <c r="O11" s="468"/>
      <c r="P11" s="748"/>
      <c r="Q11" s="749"/>
    </row>
    <row r="12" spans="1:42" x14ac:dyDescent="0.2">
      <c r="B12" s="86">
        <f>B11+1</f>
        <v>6</v>
      </c>
      <c r="C12" s="87"/>
      <c r="D12" s="87">
        <f ca="1">'P&amp;L'!N48</f>
        <v>390236.40369756101</v>
      </c>
      <c r="E12" s="87" t="str">
        <f>IF(B12='Exit Strategies'!$D$4,'Exit Strategies'!$D$28,IF(B12='Exit Strategies'!$H$7,'Exit Strategies'!$H$22,""))</f>
        <v/>
      </c>
      <c r="F12" s="88">
        <f t="shared" ca="1" si="0"/>
        <v>390236.40369756101</v>
      </c>
      <c r="G12" s="468"/>
      <c r="H12" s="468"/>
      <c r="I12" s="468"/>
      <c r="J12" s="468"/>
      <c r="K12" s="468"/>
      <c r="L12" s="468"/>
      <c r="M12" s="468"/>
      <c r="N12" s="468"/>
      <c r="O12" s="468"/>
      <c r="P12" s="468"/>
    </row>
    <row r="13" spans="1:42" x14ac:dyDescent="0.2">
      <c r="B13" s="86">
        <f>B12+1</f>
        <v>7</v>
      </c>
      <c r="C13" s="87"/>
      <c r="D13" s="87">
        <f ca="1">'P&amp;L'!P48</f>
        <v>440592.16215537343</v>
      </c>
      <c r="E13" s="87" t="str">
        <f>IF(B13='Exit Strategies'!$D$4,'Exit Strategies'!$D$28,IF(B13='Exit Strategies'!$H$7,'Exit Strategies'!$H$22,""))</f>
        <v/>
      </c>
      <c r="F13" s="88">
        <f t="shared" ca="1" si="0"/>
        <v>440592.16215537343</v>
      </c>
      <c r="G13" s="468"/>
      <c r="H13" s="468"/>
      <c r="I13" s="468"/>
      <c r="J13" s="468"/>
      <c r="K13" s="468"/>
      <c r="L13" s="468"/>
      <c r="M13" s="468"/>
      <c r="N13" s="468"/>
      <c r="O13" s="468"/>
      <c r="P13" s="468"/>
    </row>
    <row r="14" spans="1:42" x14ac:dyDescent="0.2">
      <c r="B14" s="86">
        <f>B13+1</f>
        <v>8</v>
      </c>
      <c r="C14" s="87"/>
      <c r="D14" s="87">
        <f ca="1">'P&amp;L'!R48</f>
        <v>492781.09592017171</v>
      </c>
      <c r="E14" s="87" t="str">
        <f>IF(B14='Exit Strategies'!$D$4,'Exit Strategies'!$D$28,IF(B14='Exit Strategies'!$H$7,'Exit Strategies'!$H$22,""))</f>
        <v/>
      </c>
      <c r="F14" s="88">
        <f t="shared" ca="1" si="0"/>
        <v>492781.09592017171</v>
      </c>
      <c r="G14" s="468"/>
      <c r="H14" s="468"/>
      <c r="I14" s="468"/>
      <c r="J14" s="468"/>
      <c r="K14" s="468"/>
      <c r="L14" s="468"/>
      <c r="M14" s="468"/>
      <c r="N14" s="468"/>
      <c r="O14" s="468"/>
      <c r="P14" s="468"/>
    </row>
    <row r="15" spans="1:42" x14ac:dyDescent="0.2">
      <c r="B15" s="86">
        <f>B14+1</f>
        <v>9</v>
      </c>
      <c r="C15" s="87"/>
      <c r="D15" s="87">
        <f ca="1">'P&amp;L'!T48</f>
        <v>546864.65030223946</v>
      </c>
      <c r="E15" s="87" t="str">
        <f>IF(B15='Exit Strategies'!$D$4,'Exit Strategies'!$D$28,IF(B15='Exit Strategies'!$H$7,'Exit Strategies'!$H$22,""))</f>
        <v/>
      </c>
      <c r="F15" s="88">
        <f t="shared" ca="1" si="0"/>
        <v>546864.65030223946</v>
      </c>
      <c r="G15" s="468"/>
      <c r="H15" s="468"/>
      <c r="I15" s="468"/>
      <c r="J15" s="468"/>
      <c r="K15" s="468"/>
      <c r="L15" s="468"/>
      <c r="M15" s="468"/>
      <c r="N15" s="468"/>
      <c r="O15" s="468"/>
      <c r="P15" s="468"/>
    </row>
    <row r="16" spans="1:42" x14ac:dyDescent="0.2">
      <c r="B16" s="86">
        <f>B15+1</f>
        <v>10</v>
      </c>
      <c r="C16" s="87"/>
      <c r="D16" s="87">
        <f ca="1">'P&amp;L'!V48</f>
        <v>602906.24297216954</v>
      </c>
      <c r="E16" s="87">
        <f ca="1">IF(B16='Exit Strategies'!$D$4,'Exit Strategies'!$D$28,IF(B16='Exit Strategies'!$H$7,'Exit Strategies'!$H$22,""))</f>
        <v>7217626.2036053911</v>
      </c>
      <c r="F16" s="88">
        <f t="shared" ca="1" si="0"/>
        <v>7820532.4465775602</v>
      </c>
      <c r="G16" s="468"/>
      <c r="H16" s="468"/>
      <c r="I16" s="468"/>
      <c r="J16" s="468"/>
      <c r="K16" s="468"/>
      <c r="L16" s="468"/>
      <c r="M16" s="468"/>
      <c r="N16" s="468"/>
      <c r="O16" s="468"/>
      <c r="P16" s="468"/>
    </row>
    <row r="17" spans="2:16" ht="12.75" thickBot="1" x14ac:dyDescent="0.25">
      <c r="B17" s="227" t="s">
        <v>42</v>
      </c>
      <c r="C17" s="228">
        <f>SUM(C6:C16)</f>
        <v>-3697210.9879999999</v>
      </c>
      <c r="D17" s="228">
        <f ca="1">SUM(D6:D16)</f>
        <v>5073795.1006429587</v>
      </c>
      <c r="E17" s="228">
        <f ca="1">SUM(E6:E16)</f>
        <v>7217626.2036053911</v>
      </c>
      <c r="F17" s="229">
        <f t="shared" ca="1" si="0"/>
        <v>8594210.3162483498</v>
      </c>
      <c r="G17" s="468"/>
      <c r="H17" s="468"/>
      <c r="I17" s="468"/>
      <c r="J17" s="468"/>
      <c r="K17" s="468"/>
      <c r="L17" s="468"/>
      <c r="M17" s="468"/>
      <c r="N17" s="468"/>
      <c r="O17" s="468"/>
      <c r="P17" s="468"/>
    </row>
    <row r="18" spans="2:16" ht="12.75" thickBot="1" x14ac:dyDescent="0.25">
      <c r="B18" s="230" t="s">
        <v>9</v>
      </c>
      <c r="C18" s="231"/>
      <c r="D18" s="231"/>
      <c r="E18" s="231"/>
      <c r="F18" s="752">
        <f ca="1">IF(C6=0,0,IRR(F6:F16))</f>
        <v>0.18208640301147283</v>
      </c>
      <c r="G18" s="736" t="str">
        <f ca="1">About!E6</f>
        <v>This is a solid IRR since it's at least 13.0%.</v>
      </c>
      <c r="H18" s="468"/>
      <c r="I18" s="468"/>
      <c r="J18" s="468"/>
      <c r="K18" s="468"/>
      <c r="L18" s="468"/>
      <c r="M18" s="468"/>
      <c r="N18" s="468"/>
      <c r="O18" s="468"/>
      <c r="P18" s="468"/>
    </row>
    <row r="19" spans="2:16" x14ac:dyDescent="0.2">
      <c r="B19" s="468"/>
      <c r="C19" s="468"/>
      <c r="D19" s="468"/>
      <c r="E19" s="468"/>
      <c r="F19" s="468"/>
      <c r="G19" s="468"/>
      <c r="H19" s="468"/>
      <c r="I19" s="468"/>
      <c r="J19" s="468"/>
      <c r="K19" s="468"/>
      <c r="L19" s="468"/>
      <c r="M19" s="468"/>
      <c r="N19" s="468"/>
      <c r="O19" s="468"/>
      <c r="P19" s="468"/>
    </row>
    <row r="20" spans="2:16" x14ac:dyDescent="0.2">
      <c r="B20" s="999" t="s">
        <v>201</v>
      </c>
      <c r="C20" s="1000"/>
      <c r="D20" s="1000"/>
      <c r="E20" s="1000"/>
      <c r="F20" s="1000"/>
      <c r="G20" s="468"/>
      <c r="H20" s="468"/>
      <c r="I20" s="468"/>
      <c r="J20" s="468"/>
      <c r="K20" s="468"/>
      <c r="L20" s="468"/>
      <c r="M20" s="468"/>
      <c r="N20" s="468"/>
      <c r="O20" s="468"/>
      <c r="P20" s="468"/>
    </row>
    <row r="21" spans="2:16" ht="12.75" thickBot="1" x14ac:dyDescent="0.25">
      <c r="B21" s="1000"/>
      <c r="C21" s="1000"/>
      <c r="D21" s="1000"/>
      <c r="E21" s="1000"/>
      <c r="F21" s="1000"/>
      <c r="G21" s="468"/>
      <c r="H21" s="468"/>
      <c r="I21" s="468"/>
      <c r="J21" s="468"/>
      <c r="K21" s="468"/>
      <c r="L21" s="468"/>
      <c r="M21" s="468"/>
      <c r="N21" s="468"/>
      <c r="O21" s="468"/>
      <c r="P21" s="468"/>
    </row>
    <row r="22" spans="2:16" ht="24" x14ac:dyDescent="0.2">
      <c r="B22" s="83" t="s">
        <v>10</v>
      </c>
      <c r="C22" s="84" t="s">
        <v>56</v>
      </c>
      <c r="D22" s="84" t="s">
        <v>68</v>
      </c>
      <c r="E22" s="84" t="s">
        <v>185</v>
      </c>
      <c r="F22" s="85" t="s">
        <v>42</v>
      </c>
      <c r="G22" s="468"/>
      <c r="H22" s="468"/>
      <c r="I22" s="468"/>
      <c r="J22" s="468"/>
      <c r="K22" s="468"/>
      <c r="L22" s="468"/>
      <c r="M22" s="468"/>
      <c r="N22" s="468"/>
      <c r="O22" s="468"/>
      <c r="P22" s="468"/>
    </row>
    <row r="23" spans="2:16" x14ac:dyDescent="0.2">
      <c r="B23" s="86">
        <v>0</v>
      </c>
      <c r="C23" s="87">
        <f>C6</f>
        <v>-3697210.9879999999</v>
      </c>
      <c r="D23" s="87">
        <v>0</v>
      </c>
      <c r="E23" s="87"/>
      <c r="F23" s="88">
        <f t="shared" ref="F23:F34" si="1">SUM(C23:E23)</f>
        <v>-3697210.9879999999</v>
      </c>
      <c r="G23" s="468"/>
      <c r="H23" s="468"/>
      <c r="I23" s="468"/>
      <c r="J23" s="468"/>
      <c r="K23" s="468"/>
      <c r="L23" s="468"/>
      <c r="M23" s="468"/>
      <c r="N23" s="468"/>
      <c r="O23" s="468"/>
      <c r="P23" s="468"/>
    </row>
    <row r="24" spans="2:16" x14ac:dyDescent="0.2">
      <c r="B24" s="86">
        <v>1</v>
      </c>
      <c r="C24" s="87"/>
      <c r="D24" s="87">
        <f ca="1">Returns!C58</f>
        <v>753859.30649999995</v>
      </c>
      <c r="E24" s="87" t="str">
        <f>IF(SUM(Returns!C61,Returns!C63)=0,"",SUM(Returns!C61,Returns!C63))</f>
        <v/>
      </c>
      <c r="F24" s="88">
        <f t="shared" ca="1" si="1"/>
        <v>753859.30649999995</v>
      </c>
      <c r="G24" s="468"/>
      <c r="H24" s="511"/>
      <c r="I24" s="468"/>
      <c r="J24" s="468"/>
      <c r="K24" s="468"/>
      <c r="L24" s="468"/>
      <c r="M24" s="468"/>
      <c r="N24" s="468"/>
      <c r="O24" s="468"/>
      <c r="P24" s="468"/>
    </row>
    <row r="25" spans="2:16" x14ac:dyDescent="0.2">
      <c r="B25" s="86">
        <v>2</v>
      </c>
      <c r="C25" s="87"/>
      <c r="D25" s="87">
        <f ca="1">Returns!D58</f>
        <v>790825.58330000006</v>
      </c>
      <c r="E25" s="87" t="str">
        <f>IF(SUM(Returns!D61,Returns!D63)=0,"",SUM(Returns!D61,Returns!D63))</f>
        <v/>
      </c>
      <c r="F25" s="88">
        <f t="shared" ca="1" si="1"/>
        <v>790825.58330000006</v>
      </c>
      <c r="G25" s="468"/>
      <c r="H25" s="468"/>
      <c r="I25" s="468"/>
      <c r="J25" s="468"/>
      <c r="K25" s="468"/>
      <c r="L25" s="468"/>
      <c r="M25" s="468"/>
      <c r="N25" s="468"/>
      <c r="O25" s="468"/>
      <c r="P25" s="468"/>
    </row>
    <row r="26" spans="2:16" x14ac:dyDescent="0.2">
      <c r="B26" s="86">
        <v>3</v>
      </c>
      <c r="C26" s="87"/>
      <c r="D26" s="87">
        <f ca="1">Returns!E58</f>
        <v>683422.54712399957</v>
      </c>
      <c r="E26" s="87" t="str">
        <f>IF(SUM(Returns!E61,Returns!E63)=0,"",SUM(Returns!E61,Returns!E63))</f>
        <v/>
      </c>
      <c r="F26" s="88">
        <f t="shared" ca="1" si="1"/>
        <v>683422.54712399957</v>
      </c>
      <c r="G26" s="468"/>
      <c r="H26" s="468"/>
      <c r="I26" s="468"/>
      <c r="J26" s="468"/>
      <c r="K26" s="468"/>
      <c r="L26" s="468"/>
      <c r="M26" s="468"/>
      <c r="N26" s="468"/>
      <c r="O26" s="468"/>
      <c r="P26" s="468"/>
    </row>
    <row r="27" spans="2:16" x14ac:dyDescent="0.2">
      <c r="B27" s="86">
        <v>4</v>
      </c>
      <c r="C27" s="87"/>
      <c r="D27" s="87">
        <f ca="1">Returns!F58</f>
        <v>497090.72790072649</v>
      </c>
      <c r="E27" s="87" t="str">
        <f>IF(SUM(Returns!F61,Returns!F63)=0,"",SUM(Returns!F61,Returns!F63))</f>
        <v/>
      </c>
      <c r="F27" s="88">
        <f t="shared" ca="1" si="1"/>
        <v>497090.72790072649</v>
      </c>
      <c r="G27" s="468"/>
      <c r="H27" s="468"/>
      <c r="I27" s="468"/>
      <c r="J27" s="468"/>
      <c r="K27" s="468"/>
      <c r="L27" s="468"/>
      <c r="M27" s="468"/>
      <c r="N27" s="468"/>
      <c r="O27" s="468"/>
      <c r="P27" s="468"/>
    </row>
    <row r="28" spans="2:16" x14ac:dyDescent="0.2">
      <c r="B28" s="86">
        <v>5</v>
      </c>
      <c r="C28" s="87"/>
      <c r="D28" s="87">
        <f ca="1">Returns!G58</f>
        <v>406165.97674980829</v>
      </c>
      <c r="E28" s="87" t="str">
        <f>IF(SUM(Returns!G61,Returns!G63)=0,"",SUM(Returns!G61,Returns!G63))</f>
        <v/>
      </c>
      <c r="F28" s="88">
        <f t="shared" ca="1" si="1"/>
        <v>406165.97674980829</v>
      </c>
      <c r="G28" s="468"/>
      <c r="H28" s="468"/>
      <c r="I28" s="468"/>
      <c r="J28" s="468"/>
      <c r="K28" s="468"/>
      <c r="L28" s="468"/>
      <c r="M28" s="468"/>
      <c r="N28" s="468"/>
      <c r="O28" s="468"/>
      <c r="P28" s="468"/>
    </row>
    <row r="29" spans="2:16" x14ac:dyDescent="0.2">
      <c r="B29" s="86">
        <f>B28+1</f>
        <v>6</v>
      </c>
      <c r="C29" s="87"/>
      <c r="D29" s="87">
        <f ca="1">Returns!H58</f>
        <v>468484.89186148311</v>
      </c>
      <c r="E29" s="87" t="str">
        <f>IF(SUM(Returns!H61,Returns!H63)=0,"",SUM(Returns!H61,Returns!H63))</f>
        <v/>
      </c>
      <c r="F29" s="88">
        <f t="shared" ca="1" si="1"/>
        <v>468484.89186148311</v>
      </c>
      <c r="G29" s="468"/>
      <c r="H29" s="468"/>
      <c r="I29" s="468"/>
      <c r="J29" s="468"/>
      <c r="K29" s="468"/>
      <c r="L29" s="468"/>
      <c r="M29" s="468"/>
      <c r="N29" s="468"/>
      <c r="O29" s="468"/>
      <c r="P29" s="468"/>
    </row>
    <row r="30" spans="2:16" x14ac:dyDescent="0.2">
      <c r="B30" s="86">
        <f>B29+1</f>
        <v>7</v>
      </c>
      <c r="C30" s="87"/>
      <c r="D30" s="87">
        <f ca="1">Returns!I58</f>
        <v>533068.59814373462</v>
      </c>
      <c r="E30" s="87" t="str">
        <f>IF(SUM(Returns!I61,Returns!I63)=0,"",SUM(Returns!I61,Returns!I63))</f>
        <v/>
      </c>
      <c r="F30" s="88">
        <f t="shared" ca="1" si="1"/>
        <v>533068.59814373462</v>
      </c>
      <c r="G30" s="468"/>
      <c r="H30" s="468"/>
      <c r="I30" s="468"/>
      <c r="J30" s="468"/>
      <c r="K30" s="468"/>
      <c r="L30" s="468"/>
      <c r="M30" s="468"/>
      <c r="N30" s="468"/>
      <c r="O30" s="468"/>
      <c r="P30" s="468"/>
    </row>
    <row r="31" spans="2:16" x14ac:dyDescent="0.2">
      <c r="B31" s="86">
        <f>B30+1</f>
        <v>8</v>
      </c>
      <c r="C31" s="87"/>
      <c r="D31" s="87">
        <f ca="1">Returns!J58</f>
        <v>599992.94380601798</v>
      </c>
      <c r="E31" s="87" t="str">
        <f>IF(SUM(Returns!J61,Returns!J63)=0,"",SUM(Returns!J61,Returns!J63))</f>
        <v/>
      </c>
      <c r="F31" s="88">
        <f t="shared" ca="1" si="1"/>
        <v>599992.94380601798</v>
      </c>
      <c r="G31" s="468"/>
      <c r="H31" s="468"/>
      <c r="I31" s="468"/>
      <c r="J31" s="468"/>
      <c r="K31" s="468"/>
      <c r="L31" s="468"/>
      <c r="M31" s="468"/>
      <c r="N31" s="468"/>
      <c r="O31" s="468"/>
      <c r="P31" s="468"/>
    </row>
    <row r="32" spans="2:16" x14ac:dyDescent="0.2">
      <c r="B32" s="86">
        <f>B31+1</f>
        <v>9</v>
      </c>
      <c r="C32" s="87"/>
      <c r="D32" s="87">
        <f ca="1">Returns!K58</f>
        <v>669336.21059357678</v>
      </c>
      <c r="E32" s="87" t="str">
        <f>IF(SUM(Returns!K61,Returns!K63)=0,"",SUM(Returns!K61,Returns!K63))</f>
        <v/>
      </c>
      <c r="F32" s="88">
        <f t="shared" ca="1" si="1"/>
        <v>669336.21059357678</v>
      </c>
      <c r="G32" s="468"/>
      <c r="H32" s="468"/>
      <c r="I32" s="468"/>
      <c r="J32" s="468"/>
      <c r="K32" s="468"/>
      <c r="L32" s="468"/>
      <c r="M32" s="468"/>
      <c r="N32" s="468"/>
      <c r="O32" s="468"/>
      <c r="P32" s="468"/>
    </row>
    <row r="33" spans="2:16" x14ac:dyDescent="0.2">
      <c r="B33" s="86">
        <f>B32+1</f>
        <v>10</v>
      </c>
      <c r="C33" s="87"/>
      <c r="D33" s="87">
        <f ca="1">Returns!L58</f>
        <v>741179.1899552627</v>
      </c>
      <c r="E33" s="87">
        <f ca="1">IF(SUM(Returns!L61,Returns!L63)=0,"",SUM(Returns!L61,Returns!L63))</f>
        <v>8537781.9094574135</v>
      </c>
      <c r="F33" s="88">
        <f t="shared" ca="1" si="1"/>
        <v>9278961.0994126759</v>
      </c>
      <c r="G33" s="468"/>
      <c r="H33" s="468"/>
      <c r="I33" s="468"/>
      <c r="J33" s="468"/>
      <c r="K33" s="468"/>
      <c r="L33" s="468"/>
      <c r="M33" s="468"/>
      <c r="N33" s="468"/>
      <c r="O33" s="468"/>
      <c r="P33" s="468"/>
    </row>
    <row r="34" spans="2:16" ht="12.75" thickBot="1" x14ac:dyDescent="0.25">
      <c r="B34" s="227" t="s">
        <v>42</v>
      </c>
      <c r="C34" s="228">
        <f>SUM(C23:C33)</f>
        <v>-3697210.9879999999</v>
      </c>
      <c r="D34" s="228">
        <f ca="1">SUM(D23:D33)</f>
        <v>6143425.9759346088</v>
      </c>
      <c r="E34" s="228">
        <f ca="1">SUM(E23:E33)</f>
        <v>8537781.9094574135</v>
      </c>
      <c r="F34" s="229">
        <f t="shared" ca="1" si="1"/>
        <v>10983996.897392023</v>
      </c>
      <c r="G34" s="468"/>
      <c r="H34" s="468"/>
      <c r="I34" s="468"/>
      <c r="J34" s="468"/>
      <c r="K34" s="468"/>
      <c r="L34" s="468"/>
      <c r="M34" s="468"/>
      <c r="N34" s="468"/>
      <c r="O34" s="468"/>
      <c r="P34" s="468"/>
    </row>
    <row r="35" spans="2:16" ht="12.75" thickBot="1" x14ac:dyDescent="0.25">
      <c r="B35" s="230" t="s">
        <v>9</v>
      </c>
      <c r="C35" s="231"/>
      <c r="D35" s="231"/>
      <c r="E35" s="231"/>
      <c r="F35" s="232">
        <f ca="1">IRR(F23:F33)</f>
        <v>0.21895418572350067</v>
      </c>
      <c r="G35" s="468"/>
      <c r="H35" s="468"/>
      <c r="I35" s="468"/>
      <c r="J35" s="468"/>
      <c r="K35" s="468"/>
      <c r="L35" s="468"/>
      <c r="M35" s="468"/>
      <c r="N35" s="468"/>
      <c r="O35" s="468"/>
      <c r="P35" s="468"/>
    </row>
    <row r="36" spans="2:16" x14ac:dyDescent="0.2">
      <c r="B36" s="468"/>
      <c r="C36" s="468"/>
      <c r="D36" s="468"/>
      <c r="E36" s="468"/>
      <c r="F36" s="468"/>
      <c r="G36" s="468"/>
      <c r="H36" s="468"/>
      <c r="I36" s="468"/>
      <c r="J36" s="468"/>
      <c r="K36" s="468"/>
      <c r="L36" s="468"/>
      <c r="M36" s="468"/>
      <c r="N36" s="468"/>
      <c r="O36" s="468"/>
      <c r="P36" s="468"/>
    </row>
    <row r="37" spans="2:16" x14ac:dyDescent="0.2">
      <c r="B37" s="218" t="s">
        <v>301</v>
      </c>
      <c r="C37" s="468"/>
      <c r="D37" s="468"/>
      <c r="E37" s="468"/>
      <c r="F37" s="468"/>
      <c r="G37" s="468"/>
      <c r="H37" s="468"/>
      <c r="I37" s="468"/>
      <c r="J37" s="468"/>
      <c r="K37" s="468"/>
      <c r="L37" s="468"/>
      <c r="M37" s="468"/>
      <c r="N37" s="468"/>
      <c r="O37" s="468"/>
      <c r="P37" s="468"/>
    </row>
    <row r="38" spans="2:16" x14ac:dyDescent="0.2">
      <c r="B38" s="218" t="s">
        <v>140</v>
      </c>
      <c r="C38" s="468"/>
      <c r="D38" s="468"/>
      <c r="E38" s="468"/>
      <c r="F38" s="468"/>
      <c r="G38" s="468"/>
      <c r="H38" s="468"/>
      <c r="I38" s="468"/>
      <c r="J38" s="468"/>
      <c r="K38" s="468"/>
      <c r="L38" s="468"/>
      <c r="M38" s="468"/>
      <c r="N38" s="468"/>
      <c r="O38" s="468"/>
      <c r="P38" s="468"/>
    </row>
    <row r="39" spans="2:16" x14ac:dyDescent="0.2">
      <c r="B39" s="468"/>
      <c r="C39" s="468"/>
      <c r="D39" s="468"/>
      <c r="E39" s="468"/>
      <c r="F39" s="468"/>
      <c r="G39" s="468"/>
      <c r="H39" s="468"/>
      <c r="I39" s="468"/>
      <c r="J39" s="468"/>
      <c r="K39" s="468"/>
      <c r="L39" s="468"/>
      <c r="M39" s="468"/>
      <c r="N39" s="468"/>
      <c r="O39" s="468"/>
      <c r="P39" s="468"/>
    </row>
    <row r="40" spans="2:16" x14ac:dyDescent="0.2">
      <c r="B40" s="468"/>
      <c r="C40" s="468"/>
      <c r="D40" s="468"/>
      <c r="E40" s="468"/>
      <c r="F40" s="512"/>
      <c r="G40" s="468"/>
      <c r="H40" s="468"/>
      <c r="I40" s="468"/>
      <c r="J40" s="468"/>
      <c r="K40" s="468"/>
      <c r="L40" s="468"/>
      <c r="M40" s="468"/>
      <c r="N40" s="468"/>
      <c r="O40" s="468"/>
      <c r="P40" s="468"/>
    </row>
    <row r="41" spans="2:16" x14ac:dyDescent="0.2">
      <c r="B41" s="468"/>
      <c r="C41" s="468"/>
      <c r="D41" s="468"/>
      <c r="E41" s="468"/>
      <c r="F41" s="512"/>
      <c r="G41" s="468"/>
      <c r="H41" s="468"/>
      <c r="I41" s="468"/>
      <c r="J41" s="468"/>
      <c r="K41" s="468"/>
      <c r="L41" s="468"/>
      <c r="M41" s="468"/>
      <c r="N41" s="468"/>
      <c r="O41" s="468"/>
      <c r="P41" s="468"/>
    </row>
  </sheetData>
  <customSheetViews>
    <customSheetView guid="{238A3432-2201-4481-B06C-00480E9813A7}" scale="110" showRuler="0">
      <selection activeCell="D10" sqref="D10"/>
      <pageMargins left="0.7" right="0.7" top="0.75" bottom="0.75" header="0.3" footer="0.3"/>
      <pageSetup orientation="portrait" horizontalDpi="300" verticalDpi="300"/>
      <headerFooter alignWithMargins="0"/>
    </customSheetView>
  </customSheetViews>
  <mergeCells count="3">
    <mergeCell ref="B3:F4"/>
    <mergeCell ref="A1:G1"/>
    <mergeCell ref="B20:F21"/>
  </mergeCells>
  <phoneticPr fontId="0" type="noConversion"/>
  <conditionalFormatting sqref="F18">
    <cfRule type="cellIs" priority="1" stopIfTrue="1" operator="equal">
      <formula>0</formula>
    </cfRule>
    <cfRule type="cellIs" dxfId="6" priority="2" stopIfTrue="1" operator="greaterThanOrEqual">
      <formula>$Q$7</formula>
    </cfRule>
    <cfRule type="cellIs" dxfId="5" priority="3" stopIfTrue="1" operator="lessThan">
      <formula>$Q$7</formula>
    </cfRule>
  </conditionalFormatting>
  <pageMargins left="0.75" right="0.75" top="1" bottom="1" header="0.5" footer="0.5"/>
  <pageSetup orientation="portrait" horizontalDpi="300" verticalDpi="300"/>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V36"/>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ColWidth="8.85546875" defaultRowHeight="12.75" x14ac:dyDescent="0.2"/>
  <cols>
    <col min="1" max="1" width="4.7109375" style="271" customWidth="1"/>
    <col min="2" max="2" width="21.42578125" style="271" customWidth="1"/>
    <col min="3" max="3" width="10.42578125" style="271" customWidth="1"/>
    <col min="4" max="4" width="10" style="271" customWidth="1"/>
    <col min="5" max="7" width="10" style="271" bestFit="1" customWidth="1"/>
    <col min="8" max="8" width="11" style="271" customWidth="1"/>
    <col min="9" max="10" width="10" style="271" bestFit="1" customWidth="1"/>
    <col min="11" max="11" width="8.7109375" style="271" bestFit="1" customWidth="1"/>
    <col min="12" max="12" width="10.42578125" style="271" customWidth="1"/>
    <col min="13" max="16384" width="8.85546875" style="271"/>
  </cols>
  <sheetData>
    <row r="1" spans="1:22" s="226" customFormat="1" ht="15.75" x14ac:dyDescent="0.2">
      <c r="A1" s="972" t="s">
        <v>136</v>
      </c>
      <c r="B1" s="1001"/>
      <c r="C1" s="1001"/>
      <c r="D1" s="1001"/>
      <c r="E1" s="1001"/>
      <c r="F1" s="1001"/>
      <c r="G1" s="1001"/>
      <c r="H1" s="1001"/>
      <c r="I1" s="1001"/>
      <c r="J1" s="1001"/>
      <c r="K1" s="1001"/>
      <c r="L1" s="1001"/>
    </row>
    <row r="2" spans="1:22" ht="16.5" thickBot="1" x14ac:dyDescent="0.25">
      <c r="A2" s="513"/>
      <c r="B2" s="513"/>
      <c r="C2" s="426" t="str">
        <f>IF(C3='Exit Strategies'!$D$4,"REFINANCE!",IF(C3='Exit Strategies'!$D$5,"SALE!",""))</f>
        <v/>
      </c>
      <c r="D2" s="426" t="str">
        <f>IF(D3='Exit Strategies'!$D$4,"REFINANCE!",IF(D3='Exit Strategies'!$D$5,"SALE!",""))</f>
        <v/>
      </c>
      <c r="E2" s="426" t="str">
        <f>IF(E3='Exit Strategies'!$D$4,"REFINANCE!",IF(E3='Exit Strategies'!$D$5,"SALE!",""))</f>
        <v/>
      </c>
      <c r="F2" s="426" t="str">
        <f>IF(F3='Exit Strategies'!$D$4,"REFINANCE!",IF(F3='Exit Strategies'!$D$5,"SALE!",""))</f>
        <v/>
      </c>
      <c r="G2" s="426" t="str">
        <f>IF(G3='Exit Strategies'!$D$4,"REFINANCE!",IF(G3='Exit Strategies'!$D$5,"SALE!",""))</f>
        <v/>
      </c>
      <c r="H2" s="426" t="str">
        <f>IF(H3='Exit Strategies'!$D$4,"REFINANCE!",IF(H3='Exit Strategies'!$D$5,"SALE!",""))</f>
        <v/>
      </c>
      <c r="I2" s="426" t="str">
        <f>IF(I3='Exit Strategies'!$D$4,"REFINANCE!",IF(I3='Exit Strategies'!$D$5,"SALE!",""))</f>
        <v/>
      </c>
      <c r="J2" s="426" t="str">
        <f>IF(J3='Exit Strategies'!$D$4,"REFINANCE!",IF(J3='Exit Strategies'!$D$5,"SALE!",""))</f>
        <v/>
      </c>
      <c r="K2" s="426" t="str">
        <f>IF(K3='Exit Strategies'!$D$4,"REFINANCE!",IF(K3='Exit Strategies'!$D$5,"SALE!",""))</f>
        <v/>
      </c>
      <c r="L2" s="426" t="str">
        <f>IF(L3='Exit Strategies'!$D$4,"REFINANCE!",IF(L3='Exit Strategies'!$D$5,"SALE!",""))</f>
        <v>SALE!</v>
      </c>
      <c r="M2" s="513"/>
      <c r="N2" s="559"/>
      <c r="O2" s="559"/>
      <c r="P2" s="559"/>
      <c r="Q2" s="559"/>
      <c r="R2" s="559"/>
      <c r="S2" s="559"/>
      <c r="T2" s="559"/>
      <c r="U2" s="559"/>
      <c r="V2" s="559"/>
    </row>
    <row r="3" spans="1:22" ht="15.75" x14ac:dyDescent="0.2">
      <c r="A3" s="513"/>
      <c r="B3" s="556" t="s">
        <v>10</v>
      </c>
      <c r="C3" s="557">
        <v>1</v>
      </c>
      <c r="D3" s="557">
        <f t="shared" ref="D3:L3" si="0">C3+1</f>
        <v>2</v>
      </c>
      <c r="E3" s="557">
        <f t="shared" si="0"/>
        <v>3</v>
      </c>
      <c r="F3" s="557">
        <f t="shared" si="0"/>
        <v>4</v>
      </c>
      <c r="G3" s="557">
        <f t="shared" si="0"/>
        <v>5</v>
      </c>
      <c r="H3" s="557">
        <f t="shared" si="0"/>
        <v>6</v>
      </c>
      <c r="I3" s="557">
        <f t="shared" si="0"/>
        <v>7</v>
      </c>
      <c r="J3" s="557">
        <f t="shared" si="0"/>
        <v>8</v>
      </c>
      <c r="K3" s="557">
        <f t="shared" si="0"/>
        <v>9</v>
      </c>
      <c r="L3" s="558">
        <f t="shared" si="0"/>
        <v>10</v>
      </c>
      <c r="M3" s="513"/>
      <c r="N3" s="559"/>
      <c r="O3" s="559"/>
      <c r="P3" s="559"/>
      <c r="Q3" s="559"/>
      <c r="R3" s="559"/>
      <c r="S3" s="559"/>
      <c r="T3" s="559"/>
      <c r="U3" s="559"/>
      <c r="V3" s="559"/>
    </row>
    <row r="4" spans="1:22" ht="15.75" x14ac:dyDescent="0.2">
      <c r="A4" s="513"/>
      <c r="B4" s="275"/>
      <c r="C4" s="380"/>
      <c r="D4" s="270"/>
      <c r="E4" s="270"/>
      <c r="F4" s="270"/>
      <c r="G4" s="270"/>
      <c r="H4" s="270"/>
      <c r="I4" s="270"/>
      <c r="J4" s="270"/>
      <c r="K4" s="270"/>
      <c r="L4" s="276"/>
      <c r="M4" s="513"/>
      <c r="N4" s="559"/>
      <c r="O4" s="559"/>
      <c r="P4" s="559"/>
      <c r="Q4" s="559"/>
      <c r="R4" s="559"/>
      <c r="S4" s="559"/>
      <c r="T4" s="559"/>
      <c r="U4" s="559"/>
      <c r="V4" s="559"/>
    </row>
    <row r="5" spans="1:22" s="5" customFormat="1" ht="11.25" x14ac:dyDescent="0.2">
      <c r="A5" s="472"/>
      <c r="B5" s="288" t="s">
        <v>124</v>
      </c>
      <c r="C5" s="377">
        <f>Summary!D12</f>
        <v>13518397</v>
      </c>
      <c r="D5" s="284"/>
      <c r="E5" s="284"/>
      <c r="F5" s="284"/>
      <c r="G5" s="284"/>
      <c r="H5" s="284"/>
      <c r="I5" s="284"/>
      <c r="J5" s="284"/>
      <c r="K5" s="284"/>
      <c r="L5" s="289"/>
      <c r="M5" s="472"/>
    </row>
    <row r="6" spans="1:22" ht="15.75" x14ac:dyDescent="0.2">
      <c r="A6" s="513"/>
      <c r="B6" s="277" t="s">
        <v>119</v>
      </c>
      <c r="C6" s="272">
        <f>C5</f>
        <v>13518397</v>
      </c>
      <c r="D6" s="273">
        <f ca="1">IF('Exit Strategies'!$D$7="NA",C10,IF(D$3-'Exit Strategies'!$D$7-1&gt;=0,0,C10))</f>
        <v>13518397</v>
      </c>
      <c r="E6" s="273">
        <f ca="1">IF('Exit Strategies'!$D$7="NA",D10,IF(E$3-'Exit Strategies'!$D$7-1&gt;=0,0,D10))</f>
        <v>13518397</v>
      </c>
      <c r="F6" s="273">
        <f ca="1">IF('Exit Strategies'!$D$7="NA",E10,IF(F$3-'Exit Strategies'!$D$7-1&gt;=0,0,E10))</f>
        <v>13518397</v>
      </c>
      <c r="G6" s="273">
        <f ca="1">IF('Exit Strategies'!$D$7="NA",F10,IF(G$3-'Exit Strategies'!$D$7-1&gt;=0,0,F10))</f>
        <v>13265640.232350739</v>
      </c>
      <c r="H6" s="273">
        <f ca="1">IF('Exit Strategies'!$D$7="NA",G10,IF(H$3-'Exit Strategies'!$D$7-1&gt;=0,0,G10))</f>
        <v>13000612.659110995</v>
      </c>
      <c r="I6" s="273">
        <f ca="1">IF('Exit Strategies'!$D$7="NA",H10,IF(I$3-'Exit Strategies'!$D$7-1&gt;=0,0,H10))</f>
        <v>12722718.558665721</v>
      </c>
      <c r="J6" s="273">
        <f ca="1">IF('Exit Strategies'!$D$7="NA",I10,IF(J$3-'Exit Strategies'!$D$7-1&gt;=0,0,I10))</f>
        <v>12431333.288377516</v>
      </c>
      <c r="K6" s="273">
        <f ca="1">IF('Exit Strategies'!$D$7="NA",J10,IF(K$3-'Exit Strategies'!$D$7-1&gt;=0,0,J10))</f>
        <v>12125801.880532283</v>
      </c>
      <c r="L6" s="278">
        <f ca="1">IF('Exit Strategies'!$D$7="NA",K10,IF(L$3-'Exit Strategies'!$D$7-1&gt;=0,0,K10))</f>
        <v>11805437.570120987</v>
      </c>
      <c r="M6" s="513"/>
      <c r="N6" s="559"/>
      <c r="O6" s="559"/>
      <c r="P6" s="559"/>
      <c r="Q6" s="559"/>
      <c r="R6" s="559"/>
      <c r="S6" s="559"/>
      <c r="T6" s="559"/>
      <c r="U6" s="559"/>
      <c r="V6" s="559"/>
    </row>
    <row r="7" spans="1:22" ht="15.75" x14ac:dyDescent="0.2">
      <c r="A7" s="513"/>
      <c r="B7" s="277" t="s">
        <v>21</v>
      </c>
      <c r="C7" s="273">
        <f ca="1">IF('Exit Strategies'!$D$7="NA",'1st Mortgage 1'!C12,IF(C$3-'Exit Strategies'!$D$7-1&gt;=0,0,'1st Mortgage 1'!C12))</f>
        <v>0</v>
      </c>
      <c r="D7" s="273">
        <f ca="1">IF('Exit Strategies'!$D$7="NA",'1st Mortgage 1'!D12,IF(D$3-'Exit Strategies'!$D$7-1&gt;=0,0,'1st Mortgage 1'!D12))</f>
        <v>0</v>
      </c>
      <c r="E7" s="273">
        <f ca="1">IF('Exit Strategies'!$D$7="NA",'1st Mortgage 1'!E12,IF(E$3-'Exit Strategies'!$D$7-1&gt;=0,0,'1st Mortgage 1'!E12))</f>
        <v>0</v>
      </c>
      <c r="F7" s="273">
        <f ca="1">IF('Exit Strategies'!$D$7="NA",'1st Mortgage 1'!F12,IF(F$3-'Exit Strategies'!$D$7-1&gt;=0,0,'1st Mortgage 1'!F12))</f>
        <v>252756.76764925971</v>
      </c>
      <c r="G7" s="273">
        <f ca="1">IF('Exit Strategies'!$D$7="NA",'1st Mortgage 1'!G12,IF(G$3-'Exit Strategies'!$D$7-1&gt;=0,0,'1st Mortgage 1'!G12))</f>
        <v>265027.57323974156</v>
      </c>
      <c r="H7" s="273">
        <f ca="1">IF('Exit Strategies'!$D$7="NA",'1st Mortgage 1'!H12,IF(H$3-'Exit Strategies'!$D$7-1&gt;=0,0,'1st Mortgage 1'!H12))</f>
        <v>277894.10044527554</v>
      </c>
      <c r="I7" s="273">
        <f ca="1">IF('Exit Strategies'!$D$7="NA",'1st Mortgage 1'!I12,IF(I$3-'Exit Strategies'!$D$7-1&gt;=0,0,'1st Mortgage 1'!I12))</f>
        <v>291385.27028820373</v>
      </c>
      <c r="J7" s="273">
        <f ca="1">IF('Exit Strategies'!$D$7="NA",'1st Mortgage 1'!J12,IF(J$3-'Exit Strategies'!$D$7-1&gt;=0,0,'1st Mortgage 1'!J12))</f>
        <v>305531.40784523287</v>
      </c>
      <c r="K7" s="273">
        <f ca="1">IF('Exit Strategies'!$D$7="NA",'1st Mortgage 1'!K12,IF(K$3-'Exit Strategies'!$D$7-1&gt;=0,0,'1st Mortgage 1'!K12))</f>
        <v>320364.31041129748</v>
      </c>
      <c r="L7" s="278">
        <f ca="1">IF('Exit Strategies'!$D$7="NA",'1st Mortgage 1'!L12,IF(L$3-'Exit Strategies'!$D$7-1&gt;=0,0,'1st Mortgage 1'!L12))</f>
        <v>335917.31897263904</v>
      </c>
      <c r="M7" s="513"/>
      <c r="N7" s="559"/>
      <c r="O7" s="559"/>
      <c r="P7" s="559"/>
      <c r="Q7" s="559"/>
      <c r="R7" s="559"/>
      <c r="S7" s="559"/>
      <c r="T7" s="559"/>
      <c r="U7" s="559"/>
      <c r="V7" s="559"/>
    </row>
    <row r="8" spans="1:22" ht="15.75" x14ac:dyDescent="0.2">
      <c r="A8" s="513"/>
      <c r="B8" s="277" t="s">
        <v>120</v>
      </c>
      <c r="C8" s="273">
        <f ca="1">IF('Exit Strategies'!$D$7="NA",'1st Mortgage 1'!C13,IF(C$3-'Exit Strategies'!$D$7-1&gt;=0,0,'1st Mortgage 1'!C13))</f>
        <v>642123.85749999993</v>
      </c>
      <c r="D8" s="273">
        <f ca="1">IF('Exit Strategies'!$D$7="NA",'1st Mortgage 1'!D13,IF(D$3-'Exit Strategies'!$D$7-1&gt;=0,0,'1st Mortgage 1'!D13))</f>
        <v>642123.85749999993</v>
      </c>
      <c r="E8" s="273">
        <f ca="1">IF('Exit Strategies'!$D$7="NA",'1st Mortgage 1'!E13,IF(E$3-'Exit Strategies'!$D$7-1&gt;=0,0,'1st Mortgage 1'!E13))</f>
        <v>642123.85750000086</v>
      </c>
      <c r="F8" s="273">
        <f ca="1">IF('Exit Strategies'!$D$7="NA",'1st Mortgage 1'!F13,IF(F$3-'Exit Strategies'!$D$7-1&gt;=0,0,'1st Mortgage 1'!F13))</f>
        <v>636668.23061673436</v>
      </c>
      <c r="G8" s="273">
        <f ca="1">IF('Exit Strategies'!$D$7="NA",'1st Mortgage 1'!G13,IF(G$3-'Exit Strategies'!$D$7-1&gt;=0,0,'1st Mortgage 1'!G13))</f>
        <v>624397.42502625193</v>
      </c>
      <c r="H8" s="273">
        <f ca="1">IF('Exit Strategies'!$D$7="NA",'1st Mortgage 1'!H13,IF(H$3-'Exit Strategies'!$D$7-1&gt;=0,0,'1st Mortgage 1'!H13))</f>
        <v>611530.89782071859</v>
      </c>
      <c r="I8" s="273">
        <f ca="1">IF('Exit Strategies'!$D$7="NA",'1st Mortgage 1'!I13,IF(I$3-'Exit Strategies'!$D$7-1&gt;=0,0,'1st Mortgage 1'!I13))</f>
        <v>598039.72797778901</v>
      </c>
      <c r="J8" s="273">
        <f ca="1">IF('Exit Strategies'!$D$7="NA",'1st Mortgage 1'!J13,IF(J$3-'Exit Strategies'!$D$7-1&gt;=0,0,'1st Mortgage 1'!J13))</f>
        <v>583893.59042076208</v>
      </c>
      <c r="K8" s="273">
        <f ca="1">IF('Exit Strategies'!$D$7="NA",'1st Mortgage 1'!K13,IF(K$3-'Exit Strategies'!$D$7-1&gt;=0,0,'1st Mortgage 1'!K13))</f>
        <v>569060.6878546942</v>
      </c>
      <c r="L8" s="278">
        <f ca="1">IF('Exit Strategies'!$D$7="NA",'1st Mortgage 1'!L13,IF(L$3-'Exit Strategies'!$D$7-1&gt;=0,0,'1st Mortgage 1'!L13))</f>
        <v>553507.6792933559</v>
      </c>
      <c r="M8" s="513"/>
      <c r="N8" s="559"/>
      <c r="O8" s="559"/>
      <c r="P8" s="559"/>
      <c r="Q8" s="559"/>
      <c r="R8" s="559"/>
      <c r="S8" s="559"/>
      <c r="T8" s="559"/>
      <c r="U8" s="559"/>
      <c r="V8" s="559"/>
    </row>
    <row r="9" spans="1:22" ht="15.75" x14ac:dyDescent="0.2">
      <c r="A9" s="513"/>
      <c r="B9" s="277" t="s">
        <v>51</v>
      </c>
      <c r="C9" s="273">
        <f t="shared" ref="C9:L9" ca="1" si="1">C7+C8</f>
        <v>642123.85749999993</v>
      </c>
      <c r="D9" s="273">
        <f t="shared" ca="1" si="1"/>
        <v>642123.85749999993</v>
      </c>
      <c r="E9" s="273">
        <f t="shared" ca="1" si="1"/>
        <v>642123.85750000086</v>
      </c>
      <c r="F9" s="273">
        <f t="shared" ca="1" si="1"/>
        <v>889424.99826599401</v>
      </c>
      <c r="G9" s="273">
        <f t="shared" ca="1" si="1"/>
        <v>889424.99826599355</v>
      </c>
      <c r="H9" s="273">
        <f t="shared" ca="1" si="1"/>
        <v>889424.99826599413</v>
      </c>
      <c r="I9" s="273">
        <f t="shared" ca="1" si="1"/>
        <v>889424.99826599273</v>
      </c>
      <c r="J9" s="273">
        <f t="shared" ca="1" si="1"/>
        <v>889424.99826599495</v>
      </c>
      <c r="K9" s="273">
        <f t="shared" ca="1" si="1"/>
        <v>889424.99826599169</v>
      </c>
      <c r="L9" s="278">
        <f t="shared" ca="1" si="1"/>
        <v>889424.99826599495</v>
      </c>
      <c r="M9" s="513"/>
      <c r="N9" s="559"/>
      <c r="O9" s="559"/>
      <c r="P9" s="559"/>
      <c r="Q9" s="559"/>
      <c r="R9" s="559"/>
      <c r="S9" s="559"/>
      <c r="T9" s="559"/>
      <c r="U9" s="559"/>
      <c r="V9" s="559"/>
    </row>
    <row r="10" spans="1:22" ht="15.75" x14ac:dyDescent="0.2">
      <c r="A10" s="513"/>
      <c r="B10" s="290" t="s">
        <v>121</v>
      </c>
      <c r="C10" s="285">
        <f ca="1">IF('Exit Strategies'!$D$7="NA",'1st Mortgage 1'!C14,IF(C$3-'Exit Strategies'!$D$7-1&gt;=0,0,'1st Mortgage 1'!C14))</f>
        <v>13518397</v>
      </c>
      <c r="D10" s="285">
        <f ca="1">IF('Exit Strategies'!$D$7="NA",'1st Mortgage 1'!D14,IF(D$3-'Exit Strategies'!$D$7-1&gt;=0,0,'1st Mortgage 1'!D14))</f>
        <v>13518397</v>
      </c>
      <c r="E10" s="285">
        <f ca="1">IF('Exit Strategies'!$D$7="NA",'1st Mortgage 1'!E14,IF(E$3-'Exit Strategies'!$D$7-1&gt;=0,0,'1st Mortgage 1'!E14))</f>
        <v>13518397</v>
      </c>
      <c r="F10" s="285">
        <f ca="1">IF('Exit Strategies'!$D$7="NA",'1st Mortgage 1'!F14,IF(F$3-'Exit Strategies'!$D$7-1&gt;=0,0,'1st Mortgage 1'!F14))</f>
        <v>13265640.232350739</v>
      </c>
      <c r="G10" s="285">
        <f ca="1">IF('Exit Strategies'!$D$7="NA",'1st Mortgage 1'!G14,IF(G$3-'Exit Strategies'!$D$7-1&gt;=0,0,'1st Mortgage 1'!G14))</f>
        <v>13000612.659110995</v>
      </c>
      <c r="H10" s="285">
        <f ca="1">IF('Exit Strategies'!$D$7="NA",'1st Mortgage 1'!H14,IF(H$3-'Exit Strategies'!$D$7-1&gt;=0,0,'1st Mortgage 1'!H14))</f>
        <v>12722718.558665721</v>
      </c>
      <c r="I10" s="285">
        <f ca="1">IF('Exit Strategies'!$D$7="NA",'1st Mortgage 1'!I14,IF(I$3-'Exit Strategies'!$D$7-1&gt;=0,0,'1st Mortgage 1'!I14))</f>
        <v>12431333.288377516</v>
      </c>
      <c r="J10" s="285">
        <f ca="1">IF('Exit Strategies'!$D$7="NA",'1st Mortgage 1'!J14,IF(J$3-'Exit Strategies'!$D$7-1&gt;=0,0,'1st Mortgage 1'!J14))</f>
        <v>12125801.880532283</v>
      </c>
      <c r="K10" s="285">
        <f ca="1">IF('Exit Strategies'!$D$7="NA",'1st Mortgage 1'!K14,IF(K$3-'Exit Strategies'!$D$7-1&gt;=0,0,'1st Mortgage 1'!K14))</f>
        <v>11805437.570120987</v>
      </c>
      <c r="L10" s="567">
        <f ca="1">IF('Exit Strategies'!$D$7="NA",'1st Mortgage 1'!L14,IF(L$3-'Exit Strategies'!$D$7-1&gt;=0,0,'1st Mortgage 1'!L14))</f>
        <v>11469520.251148351</v>
      </c>
      <c r="M10" s="513"/>
      <c r="N10" s="559"/>
      <c r="O10" s="559"/>
      <c r="P10" s="559"/>
      <c r="Q10" s="559"/>
      <c r="R10" s="559"/>
      <c r="S10" s="559"/>
      <c r="T10" s="559"/>
      <c r="U10" s="559"/>
      <c r="V10" s="559"/>
    </row>
    <row r="11" spans="1:22" ht="15.75" x14ac:dyDescent="0.2">
      <c r="A11" s="513"/>
      <c r="B11" s="277"/>
      <c r="C11" s="381"/>
      <c r="D11" s="273"/>
      <c r="E11" s="273"/>
      <c r="F11" s="273"/>
      <c r="G11" s="273"/>
      <c r="H11" s="273"/>
      <c r="I11" s="273"/>
      <c r="J11" s="273"/>
      <c r="K11" s="273"/>
      <c r="L11" s="278"/>
      <c r="M11" s="513"/>
      <c r="N11" s="559"/>
      <c r="O11" s="559"/>
      <c r="P11" s="559"/>
      <c r="Q11" s="559"/>
      <c r="R11" s="559"/>
      <c r="S11" s="559"/>
      <c r="T11" s="559"/>
      <c r="U11" s="559"/>
      <c r="V11" s="559"/>
    </row>
    <row r="12" spans="1:22" ht="15.75" x14ac:dyDescent="0.2">
      <c r="A12" s="513"/>
      <c r="B12" s="288" t="s">
        <v>123</v>
      </c>
      <c r="C12" s="273">
        <f>Summary!D15</f>
        <v>0</v>
      </c>
      <c r="D12" s="286"/>
      <c r="E12" s="286"/>
      <c r="F12" s="286"/>
      <c r="G12" s="286"/>
      <c r="H12" s="286"/>
      <c r="I12" s="286"/>
      <c r="J12" s="286"/>
      <c r="K12" s="286"/>
      <c r="L12" s="292"/>
      <c r="M12" s="513"/>
      <c r="N12" s="559"/>
      <c r="O12" s="559"/>
      <c r="P12" s="559"/>
      <c r="Q12" s="559"/>
      <c r="R12" s="559"/>
      <c r="S12" s="559"/>
      <c r="T12" s="559"/>
      <c r="U12" s="559"/>
      <c r="V12" s="559"/>
    </row>
    <row r="13" spans="1:22" ht="15.75" x14ac:dyDescent="0.2">
      <c r="A13" s="513"/>
      <c r="B13" s="277" t="s">
        <v>119</v>
      </c>
      <c r="C13" s="273">
        <f>C12</f>
        <v>0</v>
      </c>
      <c r="D13" s="273">
        <f ca="1">IF('Exit Strategies'!$D$7="NA",C17,IF(D$3-'Exit Strategies'!$D$7-1&gt;=0,0,C17))</f>
        <v>0</v>
      </c>
      <c r="E13" s="273">
        <f ca="1">IF('Exit Strategies'!$D$7="NA",D17,IF(E$3-'Exit Strategies'!$D$7-1&gt;=0,0,D17))</f>
        <v>0</v>
      </c>
      <c r="F13" s="273">
        <f ca="1">IF('Exit Strategies'!$D$7="NA",E17,IF(F$3-'Exit Strategies'!$D$7-1&gt;=0,0,E17))</f>
        <v>0</v>
      </c>
      <c r="G13" s="273">
        <f ca="1">IF('Exit Strategies'!$D$7="NA",F17,IF(G$3-'Exit Strategies'!$D$7-1&gt;=0,0,F17))</f>
        <v>0</v>
      </c>
      <c r="H13" s="273">
        <f ca="1">IF('Exit Strategies'!$D$7="NA",G17,IF(H$3-'Exit Strategies'!$D$7-1&gt;=0,0,G17))</f>
        <v>0</v>
      </c>
      <c r="I13" s="273">
        <f ca="1">IF('Exit Strategies'!$D$7="NA",H17,IF(I$3-'Exit Strategies'!$D$7-1&gt;=0,0,H17))</f>
        <v>0</v>
      </c>
      <c r="J13" s="273">
        <f ca="1">IF('Exit Strategies'!$D$7="NA",I17,IF(J$3-'Exit Strategies'!$D$7-1&gt;=0,0,I17))</f>
        <v>0</v>
      </c>
      <c r="K13" s="273">
        <f ca="1">IF('Exit Strategies'!$D$7="NA",J17,IF(K$3-'Exit Strategies'!$D$7-1&gt;=0,0,J17))</f>
        <v>0</v>
      </c>
      <c r="L13" s="278">
        <f ca="1">IF('Exit Strategies'!$D$7="NA",K17,IF(L$3-'Exit Strategies'!$D$7-1&gt;=0,0,K17))</f>
        <v>0</v>
      </c>
      <c r="M13" s="513"/>
      <c r="N13" s="559"/>
      <c r="O13" s="559"/>
      <c r="P13" s="559"/>
      <c r="Q13" s="559"/>
      <c r="R13" s="559"/>
      <c r="S13" s="559"/>
      <c r="T13" s="559"/>
      <c r="U13" s="559"/>
      <c r="V13" s="559"/>
    </row>
    <row r="14" spans="1:22" ht="15.75" x14ac:dyDescent="0.2">
      <c r="A14" s="513"/>
      <c r="B14" s="277" t="s">
        <v>21</v>
      </c>
      <c r="C14" s="273">
        <f ca="1">IF('Exit Strategies'!$D$7="NA",'2nd Mortgage 1'!C12,IF(C$3-'Exit Strategies'!$D$7-1&gt;=0,0,'2nd Mortgage 1'!C12))</f>
        <v>0</v>
      </c>
      <c r="D14" s="273">
        <f ca="1">IF('Exit Strategies'!$D$7="NA",'2nd Mortgage 1'!D12,IF(D$3-'Exit Strategies'!$D$7-1&gt;=0,0,'2nd Mortgage 1'!D12))</f>
        <v>0</v>
      </c>
      <c r="E14" s="273">
        <f ca="1">IF('Exit Strategies'!$D$7="NA",'2nd Mortgage 1'!E12,IF(E$3-'Exit Strategies'!$D$7-1&gt;=0,0,'2nd Mortgage 1'!E12))</f>
        <v>0</v>
      </c>
      <c r="F14" s="273">
        <f ca="1">IF('Exit Strategies'!$D$7="NA",'2nd Mortgage 1'!F12,IF(F$3-'Exit Strategies'!$D$7-1&gt;=0,0,'2nd Mortgage 1'!F12))</f>
        <v>0</v>
      </c>
      <c r="G14" s="273">
        <f ca="1">IF('Exit Strategies'!$D$7="NA",'2nd Mortgage 1'!G12,IF(G$3-'Exit Strategies'!$D$7-1&gt;=0,0,'2nd Mortgage 1'!G12))</f>
        <v>0</v>
      </c>
      <c r="H14" s="273">
        <f ca="1">IF('Exit Strategies'!$D$7="NA",'2nd Mortgage 1'!H12,IF(H$3-'Exit Strategies'!$D$7-1&gt;=0,0,'2nd Mortgage 1'!H12))</f>
        <v>0</v>
      </c>
      <c r="I14" s="273">
        <f ca="1">IF('Exit Strategies'!$D$7="NA",'2nd Mortgage 1'!I12,IF(I$3-'Exit Strategies'!$D$7-1&gt;=0,0,'2nd Mortgage 1'!I12))</f>
        <v>0</v>
      </c>
      <c r="J14" s="273">
        <f ca="1">IF('Exit Strategies'!$D$7="NA",'2nd Mortgage 1'!J12,IF(J$3-'Exit Strategies'!$D$7-1&gt;=0,0,'2nd Mortgage 1'!J12))</f>
        <v>0</v>
      </c>
      <c r="K14" s="273">
        <f ca="1">IF('Exit Strategies'!$D$7="NA",'2nd Mortgage 1'!K12,IF(K$3-'Exit Strategies'!$D$7-1&gt;=0,0,'2nd Mortgage 1'!K12))</f>
        <v>0</v>
      </c>
      <c r="L14" s="278">
        <f ca="1">IF('Exit Strategies'!$D$7="NA",'2nd Mortgage 1'!L12,IF(L$3-'Exit Strategies'!$D$7-1&gt;=0,0,'2nd Mortgage 1'!L12))</f>
        <v>0</v>
      </c>
      <c r="M14" s="513"/>
      <c r="N14" s="559"/>
      <c r="O14" s="559"/>
      <c r="P14" s="559"/>
      <c r="Q14" s="559"/>
      <c r="R14" s="559"/>
      <c r="S14" s="559"/>
      <c r="T14" s="559"/>
      <c r="U14" s="559"/>
      <c r="V14" s="559"/>
    </row>
    <row r="15" spans="1:22" ht="15.75" x14ac:dyDescent="0.2">
      <c r="A15" s="513"/>
      <c r="B15" s="277" t="s">
        <v>120</v>
      </c>
      <c r="C15" s="273">
        <f ca="1">IF('Exit Strategies'!$D$7="NA",'2nd Mortgage 1'!C13,IF(C$3-'Exit Strategies'!$D$7-1&gt;=0,0,'2nd Mortgage 1'!C13))</f>
        <v>0</v>
      </c>
      <c r="D15" s="273">
        <f ca="1">IF('Exit Strategies'!$D$7="NA",'2nd Mortgage 1'!D13,IF(D$3-'Exit Strategies'!$D$7-1&gt;=0,0,'2nd Mortgage 1'!D13))</f>
        <v>0</v>
      </c>
      <c r="E15" s="273">
        <f ca="1">IF('Exit Strategies'!$D$7="NA",'2nd Mortgage 1'!E13,IF(E$3-'Exit Strategies'!$D$7-1&gt;=0,0,'2nd Mortgage 1'!E13))</f>
        <v>0</v>
      </c>
      <c r="F15" s="273">
        <f ca="1">IF('Exit Strategies'!$D$7="NA",'2nd Mortgage 1'!F13,IF(F$3-'Exit Strategies'!$D$7-1&gt;=0,0,'2nd Mortgage 1'!F13))</f>
        <v>0</v>
      </c>
      <c r="G15" s="273">
        <f ca="1">IF('Exit Strategies'!$D$7="NA",'2nd Mortgage 1'!G13,IF(G$3-'Exit Strategies'!$D$7-1&gt;=0,0,'2nd Mortgage 1'!G13))</f>
        <v>0</v>
      </c>
      <c r="H15" s="273">
        <f ca="1">IF('Exit Strategies'!$D$7="NA",'2nd Mortgage 1'!H13,IF(H$3-'Exit Strategies'!$D$7-1&gt;=0,0,'2nd Mortgage 1'!H13))</f>
        <v>0</v>
      </c>
      <c r="I15" s="273">
        <f ca="1">IF('Exit Strategies'!$D$7="NA",'2nd Mortgage 1'!I13,IF(I$3-'Exit Strategies'!$D$7-1&gt;=0,0,'2nd Mortgage 1'!I13))</f>
        <v>0</v>
      </c>
      <c r="J15" s="273">
        <f ca="1">IF('Exit Strategies'!$D$7="NA",'2nd Mortgage 1'!J13,IF(J$3-'Exit Strategies'!$D$7-1&gt;=0,0,'2nd Mortgage 1'!J13))</f>
        <v>0</v>
      </c>
      <c r="K15" s="273">
        <f ca="1">IF('Exit Strategies'!$D$7="NA",'2nd Mortgage 1'!K13,IF(K$3-'Exit Strategies'!$D$7-1&gt;=0,0,'2nd Mortgage 1'!K13))</f>
        <v>0</v>
      </c>
      <c r="L15" s="278">
        <f ca="1">IF('Exit Strategies'!$D$7="NA",'2nd Mortgage 1'!L13,IF(L$3-'Exit Strategies'!$D$7-1&gt;=0,0,'2nd Mortgage 1'!L13))</f>
        <v>0</v>
      </c>
      <c r="M15" s="513"/>
      <c r="N15" s="559"/>
      <c r="O15" s="559"/>
      <c r="P15" s="559"/>
      <c r="Q15" s="559"/>
      <c r="R15" s="559"/>
      <c r="S15" s="559"/>
      <c r="T15" s="559"/>
      <c r="U15" s="559"/>
      <c r="V15" s="559"/>
    </row>
    <row r="16" spans="1:22" ht="15.75" x14ac:dyDescent="0.2">
      <c r="A16" s="513"/>
      <c r="B16" s="277" t="s">
        <v>51</v>
      </c>
      <c r="C16" s="273">
        <f ca="1">C14+C15</f>
        <v>0</v>
      </c>
      <c r="D16" s="273">
        <f t="shared" ref="D16:L16" ca="1" si="2">D14+D15</f>
        <v>0</v>
      </c>
      <c r="E16" s="273">
        <f t="shared" ca="1" si="2"/>
        <v>0</v>
      </c>
      <c r="F16" s="273">
        <f t="shared" ca="1" si="2"/>
        <v>0</v>
      </c>
      <c r="G16" s="273">
        <f t="shared" ca="1" si="2"/>
        <v>0</v>
      </c>
      <c r="H16" s="273">
        <f t="shared" ca="1" si="2"/>
        <v>0</v>
      </c>
      <c r="I16" s="273">
        <f t="shared" ca="1" si="2"/>
        <v>0</v>
      </c>
      <c r="J16" s="273">
        <f t="shared" ca="1" si="2"/>
        <v>0</v>
      </c>
      <c r="K16" s="273">
        <f t="shared" ca="1" si="2"/>
        <v>0</v>
      </c>
      <c r="L16" s="278">
        <f t="shared" ca="1" si="2"/>
        <v>0</v>
      </c>
      <c r="M16" s="513"/>
      <c r="N16" s="559"/>
      <c r="O16" s="559"/>
      <c r="P16" s="559"/>
      <c r="Q16" s="559"/>
      <c r="R16" s="559"/>
      <c r="S16" s="559"/>
      <c r="T16" s="559"/>
      <c r="U16" s="559"/>
      <c r="V16" s="559"/>
    </row>
    <row r="17" spans="1:22" ht="15.75" x14ac:dyDescent="0.2">
      <c r="A17" s="513"/>
      <c r="B17" s="290" t="s">
        <v>121</v>
      </c>
      <c r="C17" s="285">
        <f ca="1">IF('Exit Strategies'!$D$7="NA",'2nd Mortgage 1'!C14,IF(C$3-'Exit Strategies'!$D$7-1&gt;=0,0,'2nd Mortgage 1'!C14))</f>
        <v>0</v>
      </c>
      <c r="D17" s="285">
        <f ca="1">IF('Exit Strategies'!$D$7="NA",'2nd Mortgage 1'!D14,IF(D$3-'Exit Strategies'!$D$7-1&gt;=0,0,'2nd Mortgage 1'!D14))</f>
        <v>0</v>
      </c>
      <c r="E17" s="285">
        <f ca="1">IF('Exit Strategies'!$D$7="NA",'2nd Mortgage 1'!E14,IF(E$3-'Exit Strategies'!$D$7-1&gt;=0,0,'2nd Mortgage 1'!E14))</f>
        <v>0</v>
      </c>
      <c r="F17" s="285">
        <f ca="1">IF('Exit Strategies'!$D$7="NA",'2nd Mortgage 1'!F14,IF(F$3-'Exit Strategies'!$D$7-1&gt;=0,0,'2nd Mortgage 1'!F14))</f>
        <v>0</v>
      </c>
      <c r="G17" s="285">
        <f ca="1">IF('Exit Strategies'!$D$7="NA",'2nd Mortgage 1'!G14,IF(G$3-'Exit Strategies'!$D$7-1&gt;=0,0,'2nd Mortgage 1'!G14))</f>
        <v>0</v>
      </c>
      <c r="H17" s="285">
        <f ca="1">IF('Exit Strategies'!$D$7="NA",'2nd Mortgage 1'!H14,IF(H$3-'Exit Strategies'!$D$7-1&gt;=0,0,'2nd Mortgage 1'!H14))</f>
        <v>0</v>
      </c>
      <c r="I17" s="285">
        <f ca="1">IF('Exit Strategies'!$D$7="NA",'2nd Mortgage 1'!I14,IF(I$3-'Exit Strategies'!$D$7-1&gt;=0,0,'2nd Mortgage 1'!I14))</f>
        <v>0</v>
      </c>
      <c r="J17" s="285">
        <f ca="1">IF('Exit Strategies'!$D$7="NA",'2nd Mortgage 1'!J14,IF(J$3-'Exit Strategies'!$D$7-1&gt;=0,0,'2nd Mortgage 1'!J14))</f>
        <v>0</v>
      </c>
      <c r="K17" s="285">
        <f ca="1">IF('Exit Strategies'!$D$7="NA",'2nd Mortgage 1'!K14,IF(K$3-'Exit Strategies'!$D$7-1&gt;=0,0,'2nd Mortgage 1'!K14))</f>
        <v>0</v>
      </c>
      <c r="L17" s="291">
        <f ca="1">IF('Exit Strategies'!$D$7="NA",'2nd Mortgage 1'!L14,IF(L$3-'Exit Strategies'!$D$7-1&gt;=0,0,'2nd Mortgage 1'!L14))</f>
        <v>0</v>
      </c>
      <c r="M17" s="513"/>
      <c r="N17" s="559"/>
      <c r="O17" s="559"/>
      <c r="P17" s="559"/>
      <c r="Q17" s="559"/>
      <c r="R17" s="559"/>
      <c r="S17" s="559"/>
      <c r="T17" s="559"/>
      <c r="U17" s="559"/>
      <c r="V17" s="559"/>
    </row>
    <row r="18" spans="1:22" ht="15.75" x14ac:dyDescent="0.2">
      <c r="A18" s="513"/>
      <c r="B18" s="290"/>
      <c r="C18" s="285"/>
      <c r="D18" s="285"/>
      <c r="E18" s="285"/>
      <c r="F18" s="285"/>
      <c r="G18" s="285"/>
      <c r="H18" s="285"/>
      <c r="I18" s="285"/>
      <c r="J18" s="285"/>
      <c r="K18" s="285"/>
      <c r="L18" s="291"/>
      <c r="M18" s="513"/>
      <c r="N18" s="559"/>
      <c r="O18" s="559"/>
      <c r="P18" s="559"/>
      <c r="Q18" s="559"/>
      <c r="R18" s="559"/>
      <c r="S18" s="559"/>
      <c r="T18" s="559"/>
      <c r="U18" s="559"/>
      <c r="V18" s="559"/>
    </row>
    <row r="19" spans="1:22" ht="15.75" x14ac:dyDescent="0.2">
      <c r="A19" s="513"/>
      <c r="B19" s="288" t="s">
        <v>175</v>
      </c>
      <c r="C19" s="378" t="str">
        <f>IF('Exit Strategies'!$D$7="NA","",IF(C3='Exit Strategies'!$D$7+1,'Exit Strategies'!$D$15,""))</f>
        <v/>
      </c>
      <c r="D19" s="378" t="str">
        <f>IF('Exit Strategies'!$D$7="NA","",IF(D3='Exit Strategies'!$D$7+1,'Exit Strategies'!$D$15,""))</f>
        <v/>
      </c>
      <c r="E19" s="378" t="str">
        <f>IF('Exit Strategies'!$D$7="NA","",IF(E3='Exit Strategies'!$D$7+1,'Exit Strategies'!$D$15,""))</f>
        <v/>
      </c>
      <c r="F19" s="378" t="str">
        <f>IF('Exit Strategies'!$D$7="NA","",IF(F3='Exit Strategies'!$D$7+1,'Exit Strategies'!$D$15,""))</f>
        <v/>
      </c>
      <c r="G19" s="378" t="str">
        <f>IF('Exit Strategies'!$D$7="NA","",IF(G3='Exit Strategies'!$D$7+1,'Exit Strategies'!$D$15,""))</f>
        <v/>
      </c>
      <c r="H19" s="378" t="str">
        <f>IF('Exit Strategies'!$D$7="NA","",IF(H3='Exit Strategies'!$D$7+1,'Exit Strategies'!$D$15,""))</f>
        <v/>
      </c>
      <c r="I19" s="378" t="str">
        <f>IF('Exit Strategies'!$D$7="NA","",IF(I3='Exit Strategies'!$D$7+1,'Exit Strategies'!$D$15,""))</f>
        <v/>
      </c>
      <c r="J19" s="378" t="str">
        <f>IF('Exit Strategies'!$D$7="NA","",IF(J3='Exit Strategies'!$D$7+1,'Exit Strategies'!$D$15,""))</f>
        <v/>
      </c>
      <c r="K19" s="378" t="str">
        <f>IF('Exit Strategies'!$D$7="NA","",IF(K3='Exit Strategies'!$D$7+1,'Exit Strategies'!$D$15,""))</f>
        <v/>
      </c>
      <c r="L19" s="379" t="str">
        <f>IF('Exit Strategies'!$D$7="NA","",IF(L3='Exit Strategies'!$D$7+1,'Exit Strategies'!$D$15,""))</f>
        <v/>
      </c>
      <c r="M19" s="513"/>
      <c r="N19" s="559"/>
      <c r="O19" s="559"/>
      <c r="P19" s="559"/>
      <c r="Q19" s="559"/>
      <c r="R19" s="559"/>
      <c r="S19" s="559"/>
      <c r="T19" s="559"/>
      <c r="U19" s="559"/>
      <c r="V19" s="559"/>
    </row>
    <row r="20" spans="1:22" ht="15.75" x14ac:dyDescent="0.2">
      <c r="A20" s="513"/>
      <c r="B20" s="277" t="s">
        <v>119</v>
      </c>
      <c r="C20" s="273">
        <f>IF(C19="",0,C19)</f>
        <v>0</v>
      </c>
      <c r="D20" s="273">
        <f t="shared" ref="D20:L20" ca="1" si="3">IF(D19="",C24,D19)</f>
        <v>0</v>
      </c>
      <c r="E20" s="273">
        <f t="shared" ca="1" si="3"/>
        <v>0</v>
      </c>
      <c r="F20" s="273">
        <f t="shared" ca="1" si="3"/>
        <v>0</v>
      </c>
      <c r="G20" s="273">
        <f t="shared" ca="1" si="3"/>
        <v>0</v>
      </c>
      <c r="H20" s="273">
        <f t="shared" ca="1" si="3"/>
        <v>0</v>
      </c>
      <c r="I20" s="273">
        <f t="shared" ca="1" si="3"/>
        <v>0</v>
      </c>
      <c r="J20" s="273">
        <f t="shared" ca="1" si="3"/>
        <v>0</v>
      </c>
      <c r="K20" s="273">
        <f t="shared" ca="1" si="3"/>
        <v>0</v>
      </c>
      <c r="L20" s="278">
        <f t="shared" ca="1" si="3"/>
        <v>0</v>
      </c>
      <c r="M20" s="513"/>
      <c r="N20" s="559"/>
      <c r="O20" s="559"/>
      <c r="P20" s="559"/>
      <c r="Q20" s="559"/>
      <c r="R20" s="559"/>
      <c r="S20" s="559"/>
      <c r="T20" s="559"/>
      <c r="U20" s="559"/>
      <c r="V20" s="559"/>
    </row>
    <row r="21" spans="1:22" ht="15.75" x14ac:dyDescent="0.2">
      <c r="A21" s="513"/>
      <c r="B21" s="277" t="s">
        <v>21</v>
      </c>
      <c r="C21" s="273">
        <f ca="1">IF('Exit Strategies'!$D$7="NA",0,IF(Loans!C$3-'Exit Strategies'!$D$7-1&lt;0,0,OFFSET('1st Mortgage Re-Fi'!$C$12,0,Loans!C$3-'Exit Strategies'!$D$7-1)))</f>
        <v>0</v>
      </c>
      <c r="D21" s="273">
        <f ca="1">IF('Exit Strategies'!$D$7="NA",0,IF(Loans!D$3-'Exit Strategies'!$D$7-1&lt;0,0,OFFSET('1st Mortgage Re-Fi'!$C$12,0,Loans!D$3-'Exit Strategies'!$D$7-1)))</f>
        <v>0</v>
      </c>
      <c r="E21" s="273">
        <f ca="1">IF('Exit Strategies'!$D$7="NA",0,IF(Loans!E$3-'Exit Strategies'!$D$7-1&lt;0,0,OFFSET('1st Mortgage Re-Fi'!$C$12,0,Loans!E$3-'Exit Strategies'!$D$7-1)))</f>
        <v>0</v>
      </c>
      <c r="F21" s="273">
        <f ca="1">IF('Exit Strategies'!$D$7="NA",0,IF(Loans!F$3-'Exit Strategies'!$D$7-1&lt;0,0,OFFSET('1st Mortgage Re-Fi'!$C$12,0,Loans!F$3-'Exit Strategies'!$D$7-1)))</f>
        <v>0</v>
      </c>
      <c r="G21" s="273">
        <f ca="1">IF('Exit Strategies'!$D$7="NA",0,IF(Loans!G$3-'Exit Strategies'!$D$7-1&lt;0,0,OFFSET('1st Mortgage Re-Fi'!$C$12,0,Loans!G$3-'Exit Strategies'!$D$7-1)))</f>
        <v>0</v>
      </c>
      <c r="H21" s="273">
        <f ca="1">IF('Exit Strategies'!$D$7="NA",0,IF(Loans!H$3-'Exit Strategies'!$D$7-1&lt;0,0,OFFSET('1st Mortgage Re-Fi'!$C$12,0,Loans!H$3-'Exit Strategies'!$D$7-1)))</f>
        <v>0</v>
      </c>
      <c r="I21" s="273">
        <f ca="1">IF('Exit Strategies'!$D$7="NA",0,IF(Loans!I$3-'Exit Strategies'!$D$7-1&lt;0,0,OFFSET('1st Mortgage Re-Fi'!$C$12,0,Loans!I$3-'Exit Strategies'!$D$7-1)))</f>
        <v>0</v>
      </c>
      <c r="J21" s="273">
        <f ca="1">IF('Exit Strategies'!$D$7="NA",0,IF(Loans!J$3-'Exit Strategies'!$D$7-1&lt;0,0,OFFSET('1st Mortgage Re-Fi'!$C$12,0,Loans!J$3-'Exit Strategies'!$D$7-1)))</f>
        <v>0</v>
      </c>
      <c r="K21" s="273">
        <f ca="1">IF('Exit Strategies'!$D$7="NA",0,IF(Loans!K$3-'Exit Strategies'!$D$7-1&lt;0,0,OFFSET('1st Mortgage Re-Fi'!$C$12,0,Loans!K$3-'Exit Strategies'!$D$7-1)))</f>
        <v>0</v>
      </c>
      <c r="L21" s="278">
        <f ca="1">IF('Exit Strategies'!$D$7="NA",0,IF(Loans!L$3-'Exit Strategies'!$D$7-1&lt;0,0,OFFSET('1st Mortgage Re-Fi'!$C$12,0,Loans!L$3-'Exit Strategies'!$D$7-1)))</f>
        <v>0</v>
      </c>
      <c r="M21" s="513"/>
      <c r="N21" s="559"/>
      <c r="O21" s="559"/>
      <c r="P21" s="559"/>
      <c r="Q21" s="559"/>
      <c r="R21" s="559"/>
      <c r="S21" s="559"/>
      <c r="T21" s="559"/>
      <c r="U21" s="559"/>
      <c r="V21" s="559"/>
    </row>
    <row r="22" spans="1:22" ht="15.75" x14ac:dyDescent="0.2">
      <c r="A22" s="513"/>
      <c r="B22" s="277" t="s">
        <v>120</v>
      </c>
      <c r="C22" s="273">
        <f ca="1">IF('Exit Strategies'!$D$7="NA",0,IF(Loans!C$3-'Exit Strategies'!$D$7-1&lt;0,0,OFFSET('1st Mortgage Re-Fi'!$C$13,0,Loans!C$3-'Exit Strategies'!$D$7-1)))</f>
        <v>0</v>
      </c>
      <c r="D22" s="273">
        <f ca="1">IF('Exit Strategies'!$D$7="NA",0,IF(Loans!D$3-'Exit Strategies'!$D$7-1&lt;0,0,OFFSET('1st Mortgage Re-Fi'!$C$13,0,Loans!D$3-'Exit Strategies'!$D$7-1)))</f>
        <v>0</v>
      </c>
      <c r="E22" s="273">
        <f ca="1">IF('Exit Strategies'!$D$7="NA",0,IF(Loans!E$3-'Exit Strategies'!$D$7-1&lt;0,0,OFFSET('1st Mortgage Re-Fi'!$C$13,0,Loans!E$3-'Exit Strategies'!$D$7-1)))</f>
        <v>0</v>
      </c>
      <c r="F22" s="273">
        <f ca="1">IF('Exit Strategies'!$D$7="NA",0,IF(Loans!F$3-'Exit Strategies'!$D$7-1&lt;0,0,OFFSET('1st Mortgage Re-Fi'!$C$13,0,Loans!F$3-'Exit Strategies'!$D$7-1)))</f>
        <v>0</v>
      </c>
      <c r="G22" s="273">
        <f ca="1">IF('Exit Strategies'!$D$7="NA",0,IF(Loans!G$3-'Exit Strategies'!$D$7-1&lt;0,0,OFFSET('1st Mortgage Re-Fi'!$C$13,0,Loans!G$3-'Exit Strategies'!$D$7-1)))</f>
        <v>0</v>
      </c>
      <c r="H22" s="273">
        <f ca="1">IF('Exit Strategies'!$D$7="NA",0,IF(Loans!H$3-'Exit Strategies'!$D$7-1&lt;0,0,OFFSET('1st Mortgage Re-Fi'!$C$13,0,Loans!H$3-'Exit Strategies'!$D$7-1)))</f>
        <v>0</v>
      </c>
      <c r="I22" s="273">
        <f ca="1">IF('Exit Strategies'!$D$7="NA",0,IF(Loans!I$3-'Exit Strategies'!$D$7-1&lt;0,0,OFFSET('1st Mortgage Re-Fi'!$C$13,0,Loans!I$3-'Exit Strategies'!$D$7-1)))</f>
        <v>0</v>
      </c>
      <c r="J22" s="273">
        <f ca="1">IF('Exit Strategies'!$D$7="NA",0,IF(Loans!J$3-'Exit Strategies'!$D$7-1&lt;0,0,OFFSET('1st Mortgage Re-Fi'!$C$13,0,Loans!J$3-'Exit Strategies'!$D$7-1)))</f>
        <v>0</v>
      </c>
      <c r="K22" s="273">
        <f ca="1">IF('Exit Strategies'!$D$7="NA",0,IF(Loans!K$3-'Exit Strategies'!$D$7-1&lt;0,0,OFFSET('1st Mortgage Re-Fi'!$C$13,0,Loans!K$3-'Exit Strategies'!$D$7-1)))</f>
        <v>0</v>
      </c>
      <c r="L22" s="278">
        <f ca="1">IF('Exit Strategies'!$D$7="NA",0,IF(Loans!L$3-'Exit Strategies'!$D$7-1&lt;0,0,OFFSET('1st Mortgage Re-Fi'!$C$13,0,Loans!L$3-'Exit Strategies'!$D$7-1)))</f>
        <v>0</v>
      </c>
      <c r="M22" s="513"/>
      <c r="N22" s="559"/>
      <c r="O22" s="559"/>
      <c r="P22" s="559"/>
      <c r="Q22" s="559"/>
      <c r="R22" s="559"/>
      <c r="S22" s="559"/>
      <c r="T22" s="559"/>
      <c r="U22" s="559"/>
      <c r="V22" s="559"/>
    </row>
    <row r="23" spans="1:22" ht="15.75" x14ac:dyDescent="0.2">
      <c r="A23" s="513"/>
      <c r="B23" s="277" t="s">
        <v>51</v>
      </c>
      <c r="C23" s="273">
        <f t="shared" ref="C23:L23" ca="1" si="4">C21+C22</f>
        <v>0</v>
      </c>
      <c r="D23" s="273">
        <f t="shared" ca="1" si="4"/>
        <v>0</v>
      </c>
      <c r="E23" s="273">
        <f t="shared" ca="1" si="4"/>
        <v>0</v>
      </c>
      <c r="F23" s="273">
        <f t="shared" ca="1" si="4"/>
        <v>0</v>
      </c>
      <c r="G23" s="273">
        <f t="shared" ca="1" si="4"/>
        <v>0</v>
      </c>
      <c r="H23" s="273">
        <f t="shared" ca="1" si="4"/>
        <v>0</v>
      </c>
      <c r="I23" s="273">
        <f t="shared" ca="1" si="4"/>
        <v>0</v>
      </c>
      <c r="J23" s="273">
        <f t="shared" ca="1" si="4"/>
        <v>0</v>
      </c>
      <c r="K23" s="273">
        <f t="shared" ca="1" si="4"/>
        <v>0</v>
      </c>
      <c r="L23" s="278">
        <f t="shared" ca="1" si="4"/>
        <v>0</v>
      </c>
      <c r="M23" s="513"/>
      <c r="N23" s="559"/>
      <c r="O23" s="559"/>
      <c r="P23" s="559"/>
      <c r="Q23" s="559"/>
      <c r="R23" s="559"/>
      <c r="S23" s="559"/>
      <c r="T23" s="559"/>
      <c r="U23" s="559"/>
      <c r="V23" s="559"/>
    </row>
    <row r="24" spans="1:22" ht="15.75" x14ac:dyDescent="0.2">
      <c r="A24" s="513"/>
      <c r="B24" s="290" t="s">
        <v>121</v>
      </c>
      <c r="C24" s="285">
        <f ca="1">IF('Exit Strategies'!$D$7="NA",0,IF(Loans!C$3-'Exit Strategies'!$D$7-1&lt;0,0,OFFSET('1st Mortgage Re-Fi'!$C$14,0,Loans!C$3-'Exit Strategies'!$D$7-1)))</f>
        <v>0</v>
      </c>
      <c r="D24" s="285">
        <f ca="1">IF('Exit Strategies'!$D$7="NA",0,IF(Loans!D$3-'Exit Strategies'!$D$7-1&lt;0,0,OFFSET('1st Mortgage Re-Fi'!$C$14,0,Loans!D$3-'Exit Strategies'!$D$7-1)))</f>
        <v>0</v>
      </c>
      <c r="E24" s="285">
        <f ca="1">IF('Exit Strategies'!$D$7="NA",0,IF(Loans!E$3-'Exit Strategies'!$D$7-1&lt;0,0,OFFSET('1st Mortgage Re-Fi'!$C$14,0,Loans!E$3-'Exit Strategies'!$D$7-1)))</f>
        <v>0</v>
      </c>
      <c r="F24" s="285">
        <f ca="1">IF('Exit Strategies'!$D$7="NA",0,IF(Loans!F$3-'Exit Strategies'!$D$7-1&lt;0,0,OFFSET('1st Mortgage Re-Fi'!$C$14,0,Loans!F$3-'Exit Strategies'!$D$7-1)))</f>
        <v>0</v>
      </c>
      <c r="G24" s="285">
        <f ca="1">IF('Exit Strategies'!$D$7="NA",0,IF(Loans!G$3-'Exit Strategies'!$D$7-1&lt;0,0,OFFSET('1st Mortgage Re-Fi'!$C$14,0,Loans!G$3-'Exit Strategies'!$D$7-1)))</f>
        <v>0</v>
      </c>
      <c r="H24" s="285">
        <f ca="1">IF('Exit Strategies'!$D$7="NA",0,IF(Loans!H$3-'Exit Strategies'!$D$7-1&lt;0,0,OFFSET('1st Mortgage Re-Fi'!$C$14,0,Loans!H$3-'Exit Strategies'!$D$7-1)))</f>
        <v>0</v>
      </c>
      <c r="I24" s="285">
        <f ca="1">IF('Exit Strategies'!$D$7="NA",0,IF(Loans!I$3-'Exit Strategies'!$D$7-1&lt;0,0,OFFSET('1st Mortgage Re-Fi'!$C$14,0,Loans!I$3-'Exit Strategies'!$D$7-1)))</f>
        <v>0</v>
      </c>
      <c r="J24" s="285">
        <f ca="1">IF('Exit Strategies'!$D$7="NA",0,IF(Loans!J$3-'Exit Strategies'!$D$7-1&lt;0,0,OFFSET('1st Mortgage Re-Fi'!$C$14,0,Loans!J$3-'Exit Strategies'!$D$7-1)))</f>
        <v>0</v>
      </c>
      <c r="K24" s="285">
        <f ca="1">IF('Exit Strategies'!$D$7="NA",0,IF(Loans!K$3-'Exit Strategies'!$D$7-1&lt;0,0,OFFSET('1st Mortgage Re-Fi'!$C$14,0,Loans!K$3-'Exit Strategies'!$D$7-1)))</f>
        <v>0</v>
      </c>
      <c r="L24" s="291">
        <f ca="1">IF('Exit Strategies'!$D$7="NA",0,IF(Loans!L$3-'Exit Strategies'!$D$7-1&lt;0,0,OFFSET('1st Mortgage Re-Fi'!$C$14,0,Loans!L$3-'Exit Strategies'!$D$7-1)))</f>
        <v>0</v>
      </c>
      <c r="M24" s="513"/>
      <c r="N24" s="559"/>
      <c r="O24" s="559"/>
      <c r="P24" s="559"/>
      <c r="Q24" s="559"/>
      <c r="R24" s="559"/>
      <c r="S24" s="559"/>
      <c r="T24" s="559"/>
      <c r="U24" s="559"/>
      <c r="V24" s="559"/>
    </row>
    <row r="25" spans="1:22" ht="15.75" x14ac:dyDescent="0.2">
      <c r="A25" s="513"/>
      <c r="B25" s="280"/>
      <c r="C25" s="513"/>
      <c r="D25" s="513"/>
      <c r="E25" s="513"/>
      <c r="F25" s="513"/>
      <c r="G25" s="513"/>
      <c r="H25" s="513"/>
      <c r="I25" s="513"/>
      <c r="J25" s="513"/>
      <c r="K25" s="513"/>
      <c r="L25" s="279"/>
      <c r="M25" s="513"/>
      <c r="N25" s="559"/>
      <c r="O25" s="559"/>
      <c r="P25" s="559"/>
      <c r="Q25" s="559"/>
      <c r="R25" s="559"/>
      <c r="S25" s="559"/>
      <c r="T25" s="559"/>
      <c r="U25" s="559"/>
      <c r="V25" s="559"/>
    </row>
    <row r="26" spans="1:22" ht="15.75" x14ac:dyDescent="0.2">
      <c r="A26" s="513"/>
      <c r="B26" s="293" t="s">
        <v>122</v>
      </c>
      <c r="C26" s="287"/>
      <c r="D26" s="286"/>
      <c r="E26" s="286"/>
      <c r="F26" s="286"/>
      <c r="G26" s="286"/>
      <c r="H26" s="286"/>
      <c r="I26" s="286"/>
      <c r="J26" s="286"/>
      <c r="K26" s="286"/>
      <c r="L26" s="292"/>
      <c r="M26" s="513"/>
      <c r="N26" s="559"/>
      <c r="O26" s="559"/>
      <c r="P26" s="559"/>
      <c r="Q26" s="559"/>
      <c r="R26" s="559"/>
      <c r="S26" s="559"/>
      <c r="T26" s="559"/>
      <c r="U26" s="559"/>
      <c r="V26" s="559"/>
    </row>
    <row r="27" spans="1:22" ht="15.75" x14ac:dyDescent="0.2">
      <c r="A27" s="513"/>
      <c r="B27" s="277" t="s">
        <v>119</v>
      </c>
      <c r="C27" s="274">
        <f t="shared" ref="C27:L27" si="5">C6+C13+C20</f>
        <v>13518397</v>
      </c>
      <c r="D27" s="274">
        <f t="shared" ca="1" si="5"/>
        <v>13518397</v>
      </c>
      <c r="E27" s="274">
        <f t="shared" ca="1" si="5"/>
        <v>13518397</v>
      </c>
      <c r="F27" s="274">
        <f t="shared" ca="1" si="5"/>
        <v>13518397</v>
      </c>
      <c r="G27" s="274">
        <f t="shared" ca="1" si="5"/>
        <v>13265640.232350739</v>
      </c>
      <c r="H27" s="274">
        <f t="shared" ca="1" si="5"/>
        <v>13000612.659110995</v>
      </c>
      <c r="I27" s="274">
        <f t="shared" ca="1" si="5"/>
        <v>12722718.558665721</v>
      </c>
      <c r="J27" s="274">
        <f t="shared" ca="1" si="5"/>
        <v>12431333.288377516</v>
      </c>
      <c r="K27" s="274">
        <f t="shared" ca="1" si="5"/>
        <v>12125801.880532283</v>
      </c>
      <c r="L27" s="281">
        <f t="shared" ca="1" si="5"/>
        <v>11805437.570120987</v>
      </c>
      <c r="M27" s="513"/>
      <c r="N27" s="559"/>
      <c r="O27" s="559"/>
      <c r="P27" s="559"/>
      <c r="Q27" s="559"/>
      <c r="R27" s="559"/>
      <c r="S27" s="559"/>
      <c r="T27" s="559"/>
      <c r="U27" s="559"/>
      <c r="V27" s="559"/>
    </row>
    <row r="28" spans="1:22" ht="15.75" x14ac:dyDescent="0.2">
      <c r="A28" s="513"/>
      <c r="B28" s="277" t="s">
        <v>120</v>
      </c>
      <c r="C28" s="274">
        <f t="shared" ref="C28:L28" ca="1" si="6">C8+C15+C22</f>
        <v>642123.85749999993</v>
      </c>
      <c r="D28" s="274">
        <f t="shared" ca="1" si="6"/>
        <v>642123.85749999993</v>
      </c>
      <c r="E28" s="274">
        <f t="shared" ca="1" si="6"/>
        <v>642123.85750000086</v>
      </c>
      <c r="F28" s="274">
        <f t="shared" ca="1" si="6"/>
        <v>636668.23061673436</v>
      </c>
      <c r="G28" s="274">
        <f t="shared" ca="1" si="6"/>
        <v>624397.42502625193</v>
      </c>
      <c r="H28" s="274">
        <f t="shared" ca="1" si="6"/>
        <v>611530.89782071859</v>
      </c>
      <c r="I28" s="274">
        <f t="shared" ca="1" si="6"/>
        <v>598039.72797778901</v>
      </c>
      <c r="J28" s="274">
        <f t="shared" ca="1" si="6"/>
        <v>583893.59042076208</v>
      </c>
      <c r="K28" s="274">
        <f t="shared" ca="1" si="6"/>
        <v>569060.6878546942</v>
      </c>
      <c r="L28" s="281">
        <f t="shared" ca="1" si="6"/>
        <v>553507.6792933559</v>
      </c>
      <c r="M28" s="513"/>
      <c r="N28" s="559"/>
      <c r="O28" s="559"/>
      <c r="P28" s="559"/>
      <c r="Q28" s="559"/>
      <c r="R28" s="559"/>
      <c r="S28" s="559"/>
      <c r="T28" s="559"/>
      <c r="U28" s="559"/>
      <c r="V28" s="559"/>
    </row>
    <row r="29" spans="1:22" ht="15.75" x14ac:dyDescent="0.2">
      <c r="A29" s="513"/>
      <c r="B29" s="277" t="s">
        <v>20</v>
      </c>
      <c r="C29" s="274">
        <f ca="1">C28</f>
        <v>642123.85749999993</v>
      </c>
      <c r="D29" s="274">
        <f ca="1">D28+C29</f>
        <v>1284247.7149999999</v>
      </c>
      <c r="E29" s="274">
        <f t="shared" ref="E29:L29" ca="1" si="7">E28+D29</f>
        <v>1926371.5725000007</v>
      </c>
      <c r="F29" s="274">
        <f t="shared" ca="1" si="7"/>
        <v>2563039.8031167351</v>
      </c>
      <c r="G29" s="274">
        <f t="shared" ca="1" si="7"/>
        <v>3187437.228142987</v>
      </c>
      <c r="H29" s="274">
        <f t="shared" ca="1" si="7"/>
        <v>3798968.1259637056</v>
      </c>
      <c r="I29" s="274">
        <f t="shared" ca="1" si="7"/>
        <v>4397007.8539414946</v>
      </c>
      <c r="J29" s="274">
        <f t="shared" ca="1" si="7"/>
        <v>4980901.4443622567</v>
      </c>
      <c r="K29" s="274">
        <f t="shared" ca="1" si="7"/>
        <v>5549962.1322169509</v>
      </c>
      <c r="L29" s="281">
        <f t="shared" ca="1" si="7"/>
        <v>6103469.8115103068</v>
      </c>
      <c r="M29" s="513"/>
      <c r="N29" s="559"/>
      <c r="O29" s="559"/>
      <c r="P29" s="559"/>
      <c r="Q29" s="559"/>
      <c r="R29" s="559"/>
      <c r="S29" s="559"/>
      <c r="T29" s="559"/>
      <c r="U29" s="559"/>
      <c r="V29" s="559"/>
    </row>
    <row r="30" spans="1:22" ht="15.75" x14ac:dyDescent="0.2">
      <c r="A30" s="513"/>
      <c r="B30" s="277" t="s">
        <v>21</v>
      </c>
      <c r="C30" s="274">
        <f t="shared" ref="C30:L30" ca="1" si="8">C7+C14+C21</f>
        <v>0</v>
      </c>
      <c r="D30" s="274">
        <f t="shared" ca="1" si="8"/>
        <v>0</v>
      </c>
      <c r="E30" s="274">
        <f t="shared" ca="1" si="8"/>
        <v>0</v>
      </c>
      <c r="F30" s="274">
        <f t="shared" ca="1" si="8"/>
        <v>252756.76764925971</v>
      </c>
      <c r="G30" s="274">
        <f t="shared" ca="1" si="8"/>
        <v>265027.57323974156</v>
      </c>
      <c r="H30" s="274">
        <f t="shared" ca="1" si="8"/>
        <v>277894.10044527554</v>
      </c>
      <c r="I30" s="274">
        <f t="shared" ca="1" si="8"/>
        <v>291385.27028820373</v>
      </c>
      <c r="J30" s="274">
        <f t="shared" ca="1" si="8"/>
        <v>305531.40784523287</v>
      </c>
      <c r="K30" s="274">
        <f t="shared" ca="1" si="8"/>
        <v>320364.31041129748</v>
      </c>
      <c r="L30" s="281">
        <f t="shared" ca="1" si="8"/>
        <v>335917.31897263904</v>
      </c>
      <c r="M30" s="513"/>
      <c r="N30" s="559"/>
      <c r="O30" s="559"/>
      <c r="P30" s="559"/>
      <c r="Q30" s="559"/>
      <c r="R30" s="559"/>
      <c r="S30" s="559"/>
      <c r="T30" s="559"/>
      <c r="U30" s="559"/>
      <c r="V30" s="559"/>
    </row>
    <row r="31" spans="1:22" ht="15.75" x14ac:dyDescent="0.2">
      <c r="A31" s="513"/>
      <c r="B31" s="277" t="s">
        <v>171</v>
      </c>
      <c r="C31" s="274">
        <f ca="1">C30</f>
        <v>0</v>
      </c>
      <c r="D31" s="274">
        <f ca="1">D30+C31</f>
        <v>0</v>
      </c>
      <c r="E31" s="274">
        <f t="shared" ref="E31:L31" ca="1" si="9">E30+D31</f>
        <v>0</v>
      </c>
      <c r="F31" s="274">
        <f t="shared" ca="1" si="9"/>
        <v>252756.76764925971</v>
      </c>
      <c r="G31" s="274">
        <f t="shared" ca="1" si="9"/>
        <v>517784.34088900127</v>
      </c>
      <c r="H31" s="274">
        <f t="shared" ca="1" si="9"/>
        <v>795678.44133427681</v>
      </c>
      <c r="I31" s="274">
        <f t="shared" ca="1" si="9"/>
        <v>1087063.7116224805</v>
      </c>
      <c r="J31" s="274">
        <f t="shared" ca="1" si="9"/>
        <v>1392595.1194677134</v>
      </c>
      <c r="K31" s="274">
        <f t="shared" ca="1" si="9"/>
        <v>1712959.4298790109</v>
      </c>
      <c r="L31" s="281">
        <f t="shared" ca="1" si="9"/>
        <v>2048876.7488516499</v>
      </c>
      <c r="M31" s="513"/>
      <c r="N31" s="559"/>
      <c r="O31" s="559"/>
      <c r="P31" s="559"/>
      <c r="Q31" s="559"/>
      <c r="R31" s="559"/>
      <c r="S31" s="559"/>
      <c r="T31" s="559"/>
      <c r="U31" s="559"/>
      <c r="V31" s="559"/>
    </row>
    <row r="32" spans="1:22" ht="15.75" x14ac:dyDescent="0.2">
      <c r="A32" s="513"/>
      <c r="B32" s="277" t="s">
        <v>51</v>
      </c>
      <c r="C32" s="274">
        <f t="shared" ref="C32:L32" ca="1" si="10">C9+C16+C23</f>
        <v>642123.85749999993</v>
      </c>
      <c r="D32" s="274">
        <f t="shared" ca="1" si="10"/>
        <v>642123.85749999993</v>
      </c>
      <c r="E32" s="274">
        <f t="shared" ca="1" si="10"/>
        <v>642123.85750000086</v>
      </c>
      <c r="F32" s="274">
        <f t="shared" ca="1" si="10"/>
        <v>889424.99826599401</v>
      </c>
      <c r="G32" s="274">
        <f t="shared" ca="1" si="10"/>
        <v>889424.99826599355</v>
      </c>
      <c r="H32" s="274">
        <f t="shared" ca="1" si="10"/>
        <v>889424.99826599413</v>
      </c>
      <c r="I32" s="274">
        <f t="shared" ca="1" si="10"/>
        <v>889424.99826599273</v>
      </c>
      <c r="J32" s="274">
        <f t="shared" ca="1" si="10"/>
        <v>889424.99826599495</v>
      </c>
      <c r="K32" s="274">
        <f t="shared" ca="1" si="10"/>
        <v>889424.99826599169</v>
      </c>
      <c r="L32" s="281">
        <f t="shared" ca="1" si="10"/>
        <v>889424.99826599495</v>
      </c>
      <c r="M32" s="513"/>
      <c r="N32" s="559"/>
      <c r="O32" s="559"/>
      <c r="P32" s="559"/>
      <c r="Q32" s="559"/>
      <c r="R32" s="559"/>
      <c r="S32" s="559"/>
      <c r="T32" s="559"/>
      <c r="U32" s="559"/>
      <c r="V32" s="559"/>
    </row>
    <row r="33" spans="1:22" ht="16.5" thickBot="1" x14ac:dyDescent="0.25">
      <c r="A33" s="513"/>
      <c r="B33" s="282" t="s">
        <v>121</v>
      </c>
      <c r="C33" s="283">
        <f t="shared" ref="C33:K33" ca="1" si="11">C10+C17+C24</f>
        <v>13518397</v>
      </c>
      <c r="D33" s="283">
        <f t="shared" ca="1" si="11"/>
        <v>13518397</v>
      </c>
      <c r="E33" s="283">
        <f t="shared" ca="1" si="11"/>
        <v>13518397</v>
      </c>
      <c r="F33" s="283">
        <f t="shared" ca="1" si="11"/>
        <v>13265640.232350739</v>
      </c>
      <c r="G33" s="283">
        <f t="shared" ca="1" si="11"/>
        <v>13000612.659110995</v>
      </c>
      <c r="H33" s="283">
        <f t="shared" ca="1" si="11"/>
        <v>12722718.558665721</v>
      </c>
      <c r="I33" s="283">
        <f t="shared" ca="1" si="11"/>
        <v>12431333.288377516</v>
      </c>
      <c r="J33" s="283">
        <f t="shared" ca="1" si="11"/>
        <v>12125801.880532283</v>
      </c>
      <c r="K33" s="283">
        <f t="shared" ca="1" si="11"/>
        <v>11805437.570120987</v>
      </c>
      <c r="L33" s="566">
        <f ca="1">L10+L17+L24</f>
        <v>11469520.251148351</v>
      </c>
      <c r="M33" s="513"/>
      <c r="N33" s="559"/>
      <c r="O33" s="559"/>
      <c r="P33" s="559"/>
      <c r="Q33" s="559"/>
      <c r="R33" s="559"/>
      <c r="S33" s="559"/>
      <c r="T33" s="559"/>
      <c r="U33" s="559"/>
      <c r="V33" s="559"/>
    </row>
    <row r="34" spans="1:22" ht="15.75" x14ac:dyDescent="0.2">
      <c r="A34" s="513"/>
      <c r="B34" s="513"/>
      <c r="C34" s="513"/>
      <c r="D34" s="513"/>
      <c r="E34" s="513"/>
      <c r="F34" s="513"/>
      <c r="G34" s="513"/>
      <c r="H34" s="513"/>
      <c r="I34" s="513"/>
      <c r="J34" s="513"/>
      <c r="K34" s="513"/>
      <c r="L34" s="513"/>
      <c r="M34" s="513"/>
      <c r="N34" s="559"/>
      <c r="O34" s="559"/>
      <c r="P34" s="559"/>
      <c r="Q34" s="559"/>
      <c r="R34" s="559"/>
      <c r="S34" s="559"/>
      <c r="T34" s="559"/>
      <c r="U34" s="559"/>
      <c r="V34" s="559"/>
    </row>
    <row r="35" spans="1:22" ht="15.75" x14ac:dyDescent="0.2">
      <c r="A35" s="513"/>
      <c r="B35" s="218" t="s">
        <v>301</v>
      </c>
      <c r="C35" s="513"/>
      <c r="D35" s="513"/>
      <c r="E35" s="513"/>
      <c r="F35" s="513"/>
      <c r="G35" s="513"/>
      <c r="H35" s="513"/>
      <c r="I35" s="513"/>
      <c r="J35" s="513"/>
      <c r="K35" s="513"/>
      <c r="L35" s="513"/>
      <c r="M35" s="513"/>
      <c r="N35" s="559"/>
      <c r="O35" s="559"/>
      <c r="P35" s="559"/>
      <c r="Q35" s="559"/>
      <c r="R35" s="559"/>
      <c r="S35" s="559"/>
      <c r="T35" s="559"/>
      <c r="U35" s="559"/>
      <c r="V35" s="559"/>
    </row>
    <row r="36" spans="1:22" ht="15.75" x14ac:dyDescent="0.2">
      <c r="A36" s="513"/>
      <c r="B36" s="218" t="s">
        <v>140</v>
      </c>
      <c r="C36" s="513"/>
      <c r="D36" s="513"/>
      <c r="E36" s="513"/>
      <c r="F36" s="513"/>
      <c r="G36" s="513"/>
      <c r="H36" s="513"/>
      <c r="I36" s="513"/>
      <c r="J36" s="513"/>
      <c r="K36" s="513"/>
      <c r="L36" s="513"/>
      <c r="M36" s="513"/>
    </row>
  </sheetData>
  <customSheetViews>
    <customSheetView guid="{238A3432-2201-4481-B06C-00480E9813A7}" scale="110" showRuler="0">
      <selection activeCell="B16" sqref="B16"/>
      <pageMargins left="0.7" right="0.7" top="0.75" bottom="0.75" header="0.3" footer="0.3"/>
      <pageSetup orientation="landscape" horizontalDpi="0" verticalDpi="0"/>
      <headerFooter alignWithMargins="0"/>
    </customSheetView>
  </customSheetViews>
  <mergeCells count="1">
    <mergeCell ref="A1:L1"/>
  </mergeCells>
  <phoneticPr fontId="0" type="noConversion"/>
  <conditionalFormatting sqref="C2:L2">
    <cfRule type="cellIs" dxfId="4" priority="1" stopIfTrue="1" operator="equal">
      <formula>"REFINANCE!"</formula>
    </cfRule>
    <cfRule type="cellIs" dxfId="3" priority="2" stopIfTrue="1" operator="equal">
      <formula>"SALE!"</formula>
    </cfRule>
  </conditionalFormatting>
  <pageMargins left="0.75" right="0.75" top="1" bottom="1" header="0.5" footer="0.5"/>
  <pageSetup orientation="landscape" horizontalDpi="1200" verticalDpi="120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About</vt:lpstr>
      <vt:lpstr>Scenarios</vt:lpstr>
      <vt:lpstr>Summary</vt:lpstr>
      <vt:lpstr>P&amp;L</vt:lpstr>
      <vt:lpstr>Acquisition Costs</vt:lpstr>
      <vt:lpstr>Exit Strategies</vt:lpstr>
      <vt:lpstr>Returns</vt:lpstr>
      <vt:lpstr>IRR</vt:lpstr>
      <vt:lpstr>Loans</vt:lpstr>
      <vt:lpstr>1st Mortgage 1</vt:lpstr>
      <vt:lpstr>2nd Mortgage 1</vt:lpstr>
      <vt:lpstr>1st Mortgage Re-Fi</vt:lpstr>
      <vt:lpstr>'1st Mortgage 1'!Print_Area</vt:lpstr>
      <vt:lpstr>'1st Mortgage Re-Fi'!Print_Area</vt:lpstr>
      <vt:lpstr>'2nd Mortgage 1'!Print_Area</vt:lpstr>
      <vt:lpstr>About!Print_Area</vt:lpstr>
      <vt:lpstr>'Acquisition Costs'!Print_Area</vt:lpstr>
      <vt:lpstr>'Exit Strategies'!Print_Area</vt:lpstr>
      <vt:lpstr>Loans!Print_Area</vt:lpstr>
      <vt:lpstr>Scenarios!Print_Area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Blank</dc:creator>
  <cp:lastModifiedBy>Michael</cp:lastModifiedBy>
  <cp:lastPrinted>2017-07-28T15:06:07Z</cp:lastPrinted>
  <dcterms:created xsi:type="dcterms:W3CDTF">2005-07-07T23:17:51Z</dcterms:created>
  <dcterms:modified xsi:type="dcterms:W3CDTF">2017-09-26T16:24:24Z</dcterms:modified>
</cp:coreProperties>
</file>